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G:\EED\EEO\1 EI ExB\Green Will Initiative\2. Program Implementation\Strategic Carbon Management\The Real SCM\4. Workshop Tools\"/>
    </mc:Choice>
  </mc:AlternateContent>
  <xr:revisionPtr revIDLastSave="0" documentId="13_ncr:1_{B22AC588-3D8E-4525-94EB-F9AD5789D89C}" xr6:coauthVersionLast="47" xr6:coauthVersionMax="47" xr10:uidLastSave="{00000000-0000-0000-0000-000000000000}"/>
  <bookViews>
    <workbookView xWindow="-14055" yWindow="-16320" windowWidth="29040" windowHeight="15840" xr2:uid="{E4B822C0-5FE2-42E2-9918-3C5A34695B78}"/>
  </bookViews>
  <sheets>
    <sheet name="Instructions" sheetId="5" r:id="rId1"/>
    <sheet name="Target Savings Calculator" sheetId="1" r:id="rId2"/>
    <sheet name="Targets and Assumptions" sheetId="4" r:id="rId3"/>
  </sheets>
  <definedNames>
    <definedName name="CHW.Elec.Convert">'Targets and Assumptions'!$E$40</definedName>
    <definedName name="CHW.Elec.Convert.Eff">'Targets and Assumptions'!#REF!</definedName>
    <definedName name="Elec.Cost">'Targets and Assumptions'!$E$36</definedName>
    <definedName name="Elec.GHG">'Targets and Assumptions'!$E$37</definedName>
    <definedName name="Gas.Cost">'Targets and Assumptions'!$E$38</definedName>
    <definedName name="Gas.GHG">'Targets and Assumptions'!$E$39</definedName>
    <definedName name="_xlnm.Print_Area" localSheetId="2">'Targets and Assumptions'!$A$1:$K$31</definedName>
    <definedName name="Stm.Gas.Convert">'Targets and Assumptions'!$E$41</definedName>
    <definedName name="Stm.Gas.Convert.Eff">'Targets and Assumptions'!$E$42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9" i="1" l="1"/>
  <c r="AB19" i="1"/>
  <c r="AC19" i="1"/>
  <c r="AD19" i="1"/>
  <c r="AE19" i="1"/>
  <c r="AF19" i="1"/>
  <c r="AG19" i="1"/>
  <c r="AH19" i="1"/>
  <c r="AA20" i="1"/>
  <c r="AB20" i="1"/>
  <c r="AC20" i="1"/>
  <c r="AD20" i="1"/>
  <c r="AE20" i="1"/>
  <c r="AF20" i="1"/>
  <c r="AG20" i="1"/>
  <c r="AH20" i="1"/>
  <c r="AA21" i="1"/>
  <c r="AB21" i="1"/>
  <c r="AC21" i="1"/>
  <c r="AD21" i="1"/>
  <c r="AE21" i="1"/>
  <c r="AF21" i="1"/>
  <c r="AG21" i="1"/>
  <c r="AH21" i="1"/>
  <c r="AA22" i="1"/>
  <c r="AB22" i="1"/>
  <c r="AC22" i="1"/>
  <c r="AD22" i="1"/>
  <c r="AE22" i="1"/>
  <c r="AF22" i="1"/>
  <c r="AG22" i="1"/>
  <c r="AH22" i="1"/>
  <c r="AA23" i="1"/>
  <c r="AB23" i="1"/>
  <c r="AC23" i="1"/>
  <c r="AD23" i="1"/>
  <c r="AE23" i="1"/>
  <c r="AF23" i="1"/>
  <c r="AG23" i="1"/>
  <c r="AH23" i="1"/>
  <c r="AA24" i="1"/>
  <c r="AB24" i="1"/>
  <c r="AC24" i="1"/>
  <c r="AD24" i="1"/>
  <c r="AE24" i="1"/>
  <c r="AF24" i="1"/>
  <c r="AG24" i="1"/>
  <c r="AH24" i="1"/>
  <c r="AA25" i="1"/>
  <c r="AB25" i="1"/>
  <c r="AC25" i="1"/>
  <c r="AD25" i="1"/>
  <c r="AE25" i="1"/>
  <c r="AF25" i="1"/>
  <c r="AG25" i="1"/>
  <c r="AH25" i="1"/>
  <c r="AA26" i="1"/>
  <c r="AB26" i="1"/>
  <c r="AC26" i="1"/>
  <c r="AD26" i="1"/>
  <c r="AE26" i="1"/>
  <c r="AF26" i="1"/>
  <c r="AG26" i="1"/>
  <c r="AH26" i="1"/>
  <c r="AA27" i="1"/>
  <c r="AB27" i="1"/>
  <c r="AC27" i="1"/>
  <c r="AD27" i="1"/>
  <c r="AE27" i="1"/>
  <c r="AF27" i="1"/>
  <c r="AG27" i="1"/>
  <c r="AH27" i="1"/>
  <c r="AA28" i="1"/>
  <c r="AB28" i="1"/>
  <c r="AC28" i="1"/>
  <c r="AD28" i="1"/>
  <c r="AE28" i="1"/>
  <c r="AF28" i="1"/>
  <c r="AG28" i="1"/>
  <c r="AH28" i="1"/>
  <c r="AA29" i="1"/>
  <c r="AB29" i="1"/>
  <c r="AC29" i="1"/>
  <c r="AD29" i="1"/>
  <c r="AE29" i="1"/>
  <c r="AF29" i="1"/>
  <c r="AG29" i="1"/>
  <c r="AH29" i="1"/>
  <c r="AA30" i="1"/>
  <c r="AB30" i="1"/>
  <c r="AC30" i="1"/>
  <c r="AD30" i="1"/>
  <c r="AE30" i="1"/>
  <c r="AF30" i="1"/>
  <c r="AG30" i="1"/>
  <c r="AH30" i="1"/>
  <c r="AA31" i="1"/>
  <c r="AB31" i="1"/>
  <c r="AC31" i="1"/>
  <c r="AD31" i="1"/>
  <c r="AE31" i="1"/>
  <c r="AF31" i="1"/>
  <c r="AG31" i="1"/>
  <c r="AH31" i="1"/>
  <c r="H21" i="1"/>
  <c r="T19" i="1"/>
  <c r="T20" i="1"/>
  <c r="U20" i="1" s="1"/>
  <c r="T21" i="1"/>
  <c r="T22" i="1"/>
  <c r="T23" i="1"/>
  <c r="U23" i="1" s="1"/>
  <c r="V23" i="1" s="1"/>
  <c r="T24" i="1"/>
  <c r="U24" i="1"/>
  <c r="V24" i="1"/>
  <c r="W24" i="1"/>
  <c r="X24" i="1"/>
  <c r="T25" i="1"/>
  <c r="U25" i="1"/>
  <c r="V25" i="1"/>
  <c r="W25" i="1"/>
  <c r="X25" i="1"/>
  <c r="T26" i="1"/>
  <c r="U26" i="1"/>
  <c r="V26" i="1"/>
  <c r="W26" i="1"/>
  <c r="X26" i="1"/>
  <c r="T27" i="1"/>
  <c r="V27" i="1" s="1"/>
  <c r="U27" i="1"/>
  <c r="T28" i="1"/>
  <c r="U28" i="1" s="1"/>
  <c r="V28" i="1"/>
  <c r="W28" i="1"/>
  <c r="X28" i="1"/>
  <c r="T29" i="1"/>
  <c r="X29" i="1" s="1"/>
  <c r="U29" i="1"/>
  <c r="V29" i="1"/>
  <c r="W29" i="1"/>
  <c r="T30" i="1"/>
  <c r="U30" i="1" s="1"/>
  <c r="V30" i="1"/>
  <c r="X30" i="1"/>
  <c r="T31" i="1"/>
  <c r="U31" i="1"/>
  <c r="V31" i="1"/>
  <c r="W31" i="1"/>
  <c r="X31" i="1"/>
  <c r="P24" i="1"/>
  <c r="P25" i="1"/>
  <c r="P26" i="1"/>
  <c r="P27" i="1"/>
  <c r="P28" i="1"/>
  <c r="P29" i="1"/>
  <c r="P30" i="1"/>
  <c r="P31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H19" i="1"/>
  <c r="I19" i="1"/>
  <c r="H20" i="1"/>
  <c r="I20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E19" i="1"/>
  <c r="E20" i="1"/>
  <c r="E21" i="1"/>
  <c r="E22" i="1"/>
  <c r="E23" i="1"/>
  <c r="E24" i="1"/>
  <c r="Z24" i="1" s="1"/>
  <c r="E25" i="1"/>
  <c r="E26" i="1"/>
  <c r="Z26" i="1" s="1"/>
  <c r="E27" i="1"/>
  <c r="E28" i="1"/>
  <c r="E29" i="1"/>
  <c r="E30" i="1"/>
  <c r="E31" i="1"/>
  <c r="E18" i="1"/>
  <c r="T18" i="1"/>
  <c r="I18" i="1"/>
  <c r="H18" i="1"/>
  <c r="U18" i="1" l="1"/>
  <c r="V18" i="1" s="1"/>
  <c r="W23" i="1"/>
  <c r="U22" i="1"/>
  <c r="W22" i="1" s="1"/>
  <c r="Z22" i="1"/>
  <c r="U21" i="1"/>
  <c r="V21" i="1" s="1"/>
  <c r="Z23" i="1"/>
  <c r="Z21" i="1"/>
  <c r="V19" i="1"/>
  <c r="U19" i="1"/>
  <c r="W19" i="1" s="1"/>
  <c r="X19" i="1" s="1"/>
  <c r="W30" i="1"/>
  <c r="X27" i="1"/>
  <c r="W20" i="1"/>
  <c r="W27" i="1"/>
  <c r="V20" i="1"/>
  <c r="Z20" i="1"/>
  <c r="Z28" i="1"/>
  <c r="Z27" i="1"/>
  <c r="W18" i="1" l="1"/>
  <c r="X18" i="1" s="1"/>
  <c r="W21" i="1"/>
  <c r="X21" i="1" s="1"/>
  <c r="X23" i="1"/>
  <c r="X22" i="1"/>
  <c r="V22" i="1"/>
  <c r="X20" i="1"/>
  <c r="AC18" i="1" l="1"/>
  <c r="AD18" i="1"/>
  <c r="E41" i="4"/>
  <c r="E40" i="4"/>
  <c r="L18" i="1" l="1"/>
  <c r="Z18" i="1" s="1"/>
  <c r="G29" i="4"/>
  <c r="G28" i="4"/>
  <c r="G27" i="4"/>
  <c r="F29" i="4"/>
  <c r="F28" i="4"/>
  <c r="F27" i="4"/>
  <c r="E29" i="4"/>
  <c r="E28" i="4"/>
  <c r="E27" i="4"/>
  <c r="D29" i="4"/>
  <c r="D28" i="4"/>
  <c r="D27" i="4"/>
  <c r="J16" i="1"/>
  <c r="K16" i="1"/>
  <c r="S16" i="1"/>
  <c r="Z30" i="1"/>
  <c r="Z31" i="1"/>
  <c r="C30" i="4"/>
  <c r="M20" i="1" l="1"/>
  <c r="O20" i="1"/>
  <c r="P20" i="1" s="1"/>
  <c r="M24" i="1"/>
  <c r="N24" i="1"/>
  <c r="O24" i="1"/>
  <c r="M18" i="1"/>
  <c r="O18" i="1" s="1"/>
  <c r="M23" i="1"/>
  <c r="O22" i="1"/>
  <c r="P22" i="1" s="1"/>
  <c r="M22" i="1"/>
  <c r="N22" i="1" s="1"/>
  <c r="M27" i="1"/>
  <c r="O27" i="1"/>
  <c r="N27" i="1"/>
  <c r="M21" i="1"/>
  <c r="N21" i="1" s="1"/>
  <c r="N26" i="1"/>
  <c r="O26" i="1"/>
  <c r="M26" i="1"/>
  <c r="M19" i="1"/>
  <c r="O19" i="1" s="1"/>
  <c r="P19" i="1" s="1"/>
  <c r="N28" i="1"/>
  <c r="O28" i="1"/>
  <c r="M28" i="1"/>
  <c r="M25" i="1"/>
  <c r="O25" i="1" s="1"/>
  <c r="M31" i="1"/>
  <c r="N31" i="1"/>
  <c r="N30" i="1"/>
  <c r="M30" i="1"/>
  <c r="O31" i="1"/>
  <c r="O30" i="1"/>
  <c r="L16" i="1"/>
  <c r="E30" i="4"/>
  <c r="E21" i="4" s="1"/>
  <c r="B31" i="4"/>
  <c r="D30" i="4"/>
  <c r="D21" i="4" s="1"/>
  <c r="G30" i="4"/>
  <c r="G21" i="4" s="1"/>
  <c r="F30" i="4"/>
  <c r="F21" i="4" s="1"/>
  <c r="N18" i="1" l="1"/>
  <c r="O23" i="1"/>
  <c r="P23" i="1" s="1"/>
  <c r="N23" i="1"/>
  <c r="O21" i="1"/>
  <c r="P21" i="1" s="1"/>
  <c r="N20" i="1"/>
  <c r="AB18" i="1"/>
  <c r="AF18" i="1" s="1"/>
  <c r="P18" i="1"/>
  <c r="AE18" i="1"/>
  <c r="Y23" i="1"/>
  <c r="Y24" i="1"/>
  <c r="Y21" i="1"/>
  <c r="Y27" i="1"/>
  <c r="Y22" i="1"/>
  <c r="Y20" i="1"/>
  <c r="Y18" i="1"/>
  <c r="AA18" i="1"/>
  <c r="Y28" i="1"/>
  <c r="Z25" i="1"/>
  <c r="N25" i="1"/>
  <c r="Z19" i="1"/>
  <c r="N19" i="1"/>
  <c r="Z29" i="1"/>
  <c r="I16" i="1"/>
  <c r="H16" i="1"/>
  <c r="T16" i="1"/>
  <c r="Q16" i="1" s="1"/>
  <c r="D13" i="4"/>
  <c r="AH18" i="1" l="1"/>
  <c r="AG18" i="1"/>
  <c r="Y26" i="1"/>
  <c r="Y19" i="1"/>
  <c r="Y25" i="1"/>
  <c r="Y30" i="1"/>
  <c r="Y31" i="1"/>
  <c r="Y29" i="1"/>
  <c r="N16" i="1"/>
  <c r="E16" i="1"/>
  <c r="V16" i="1" l="1"/>
  <c r="U16" i="1"/>
  <c r="O16" i="1"/>
  <c r="M16" i="1"/>
  <c r="W16" i="1"/>
  <c r="Z16" i="1"/>
  <c r="C16" i="1"/>
  <c r="AB16" i="1"/>
  <c r="P16" i="1"/>
  <c r="AF16" i="1" l="1"/>
  <c r="AC16" i="1"/>
  <c r="AA16" i="1"/>
  <c r="AD16" i="1"/>
  <c r="X16" i="1"/>
  <c r="AG16" i="1" s="1"/>
  <c r="AE16" i="1"/>
  <c r="AH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Han</author>
  </authors>
  <commentList>
    <comment ref="E40" authorId="0" shapeId="0" xr:uid="{692F384E-7768-4A1F-9AEF-AEEB0AF98EAF}">
      <text>
        <r>
          <rPr>
            <b/>
            <sz val="9"/>
            <color indexed="81"/>
            <rFont val="Tahoma"/>
            <family val="2"/>
          </rPr>
          <t>Steven Han:</t>
        </r>
        <r>
          <rPr>
            <sz val="9"/>
            <color indexed="81"/>
            <rFont val="Tahoma"/>
            <family val="2"/>
          </rPr>
          <t xml:space="preserve">
Conversion factors for converting CW and Steam use and using the common emission factors.
From Enwave (2020): 71.4 kg/Mlb of steam; 0.0196 kg/Rton of chilled water</t>
        </r>
      </text>
    </comment>
  </commentList>
</comments>
</file>

<file path=xl/sharedStrings.xml><?xml version="1.0" encoding="utf-8"?>
<sst xmlns="http://schemas.openxmlformats.org/spreadsheetml/2006/main" count="184" uniqueCount="150">
  <si>
    <t>Instructions</t>
  </si>
  <si>
    <t>1)</t>
  </si>
  <si>
    <t>Target Savings Calculator:</t>
  </si>
  <si>
    <t xml:space="preserve">In the columns marked "INPUT," enter your facility name, area (in square meters or square feet), and choose building type from the drop-down. </t>
  </si>
  <si>
    <t>Enter the facility's electricity use for the year (in kilowatt-hours) and natural gas use for the year (in cubic meters or gigajoules).</t>
  </si>
  <si>
    <t>Carry the target savings for selected buildings forward to the Action Checklist and the Plan to Net Zero tools.</t>
  </si>
  <si>
    <t>2)</t>
  </si>
  <si>
    <t>Targets and Assumptions:</t>
  </si>
  <si>
    <t>List of energy use targets and assumptions used in the calculations.</t>
  </si>
  <si>
    <t>For mixed use buildings the target blender can be used to determine targets based on the types, and what percentage of the building they represent</t>
  </si>
  <si>
    <t>Utility costs can be modified as applicable to your organization.</t>
  </si>
  <si>
    <t>TARGET SAVINGS CALCULATOR</t>
  </si>
  <si>
    <t xml:space="preserve">In the columns marked "INPUT," enter your Building Name, Area (in square meters or square feet), and choose Building Type from the drop-down. </t>
  </si>
  <si>
    <t>Enter the facility's Electricity Use for the 2019 calendar year (in kilowatt-hours) and Gas use (in cubic meters or gigajoules).</t>
  </si>
  <si>
    <t>Choose your Target Type from the drop-down where Top Decile is more challenging and leads to greater savings.</t>
  </si>
  <si>
    <t>The Calculator determines each building's carbon (GHG) Intensity and the energy, emissions and utility cost savings resulting from meeting the Target.</t>
  </si>
  <si>
    <t>Identify your total savings potential for individual and groups of buildings and the whole portfolio to support the business case for action.</t>
  </si>
  <si>
    <t>Prioritize your high savings potential buildings for early action to maximize utility cost and emissions reductions.</t>
  </si>
  <si>
    <t>INPUT</t>
  </si>
  <si>
    <t>For more information on the targets, please see the Targets and Assumptions sheet.</t>
  </si>
  <si>
    <t>Building Name</t>
  </si>
  <si>
    <t>Area</t>
  </si>
  <si>
    <t>Unit
(m² | ft²)</t>
  </si>
  <si>
    <t>Area sqft</t>
  </si>
  <si>
    <t>Building Type</t>
  </si>
  <si>
    <t>Target Type
(Top Decile | Top Quartile)</t>
  </si>
  <si>
    <t>Electricity Target</t>
  </si>
  <si>
    <t>Natural Gas Target</t>
  </si>
  <si>
    <t>Electricity Use</t>
  </si>
  <si>
    <t>Carbon</t>
  </si>
  <si>
    <t>Target Savings</t>
  </si>
  <si>
    <t>Annual Consumption
(kWh)</t>
  </si>
  <si>
    <t>Total Consumption (kWh)</t>
  </si>
  <si>
    <t>Actual EUI (kWh/ft²)</t>
  </si>
  <si>
    <t>Actual GHG Tonnes</t>
  </si>
  <si>
    <t>Target EUI (kWh/ft²)</t>
  </si>
  <si>
    <t>Target GHG Tonnes</t>
  </si>
  <si>
    <t>Annual Consumption Natural Gas</t>
  </si>
  <si>
    <r>
      <rPr>
        <b/>
        <sz val="10"/>
        <color rgb="FF000000"/>
        <rFont val="Arial"/>
        <family val="2"/>
      </rPr>
      <t>Unit 
(m</t>
    </r>
    <r>
      <rPr>
        <b/>
        <vertAlign val="superscript"/>
        <sz val="10"/>
        <color rgb="FF000000"/>
        <rFont val="Arial"/>
        <family val="2"/>
      </rPr>
      <t>3</t>
    </r>
    <r>
      <rPr>
        <b/>
        <sz val="10"/>
        <color rgb="FF000000"/>
        <rFont val="Arial"/>
        <family val="2"/>
      </rPr>
      <t xml:space="preserve"> | GJ)</t>
    </r>
  </si>
  <si>
    <t>Consumption (m^3)</t>
  </si>
  <si>
    <t>Actual EUI (ekWh/ft²)</t>
  </si>
  <si>
    <t>Target EUI (ekWh/ft²)</t>
  </si>
  <si>
    <r>
      <t>GHG Intensity (kg/ft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)</t>
    </r>
  </si>
  <si>
    <t>Electricity</t>
  </si>
  <si>
    <t>Total Energy</t>
  </si>
  <si>
    <t>Emissions</t>
  </si>
  <si>
    <t>%</t>
  </si>
  <si>
    <t>$/yr</t>
  </si>
  <si>
    <t>Tonnes CO2e/yr</t>
  </si>
  <si>
    <t>Total</t>
  </si>
  <si>
    <t>Column1</t>
  </si>
  <si>
    <t>UU Area</t>
  </si>
  <si>
    <t>Column3</t>
  </si>
  <si>
    <t>Target Type</t>
  </si>
  <si>
    <t>Elec Annual Consump kWh</t>
  </si>
  <si>
    <t>Chill Water Annual Consumption</t>
  </si>
  <si>
    <t>Annual Consumption kWh</t>
  </si>
  <si>
    <t>Elec Actual EUI</t>
  </si>
  <si>
    <t>Elec Actual GHG Tonne</t>
  </si>
  <si>
    <t>Elec Target EUI</t>
  </si>
  <si>
    <t>Elec Target GHG Tonne</t>
  </si>
  <si>
    <t>UU NG Consump</t>
  </si>
  <si>
    <t>NG input Unit</t>
  </si>
  <si>
    <t>kLbs Steam</t>
  </si>
  <si>
    <t>NG Consump m3</t>
  </si>
  <si>
    <t>NG Actual EUI</t>
  </si>
  <si>
    <t>NG Actual GHG Tonne</t>
  </si>
  <si>
    <t>NG Target EUI</t>
  </si>
  <si>
    <t>NG Target GHG Tonne</t>
  </si>
  <si>
    <t>GHGIntensity</t>
  </si>
  <si>
    <t>Elec % Target Save</t>
  </si>
  <si>
    <t>Elec $/yr Target Save</t>
  </si>
  <si>
    <t>NG % Target Save</t>
  </si>
  <si>
    <t>NG $/yr Target Save</t>
  </si>
  <si>
    <t>Tot Ener % Target Save</t>
  </si>
  <si>
    <t>Tot Ener $/yr Target Save</t>
  </si>
  <si>
    <t>Emiss % Target Save</t>
  </si>
  <si>
    <t>Emiss Tonn/yr Target Save</t>
  </si>
  <si>
    <t>Targets and Assumptions</t>
  </si>
  <si>
    <t>List of energy use targets (based on calendar year 2019 weather) and assumptions used in the calculations.</t>
  </si>
  <si>
    <t>You can modify your electricity or natural gas unit costs as applicable to your organization.</t>
  </si>
  <si>
    <t>2019 Targets</t>
  </si>
  <si>
    <t>Assumptions - Notes</t>
  </si>
  <si>
    <t>Quartile Targets</t>
  </si>
  <si>
    <t>Decile Targets</t>
  </si>
  <si>
    <t>Office Building</t>
  </si>
  <si>
    <t>Electricity kWh/ft²</t>
  </si>
  <si>
    <t>Natural Gas ekWh/ft²</t>
  </si>
  <si>
    <t>Office</t>
  </si>
  <si>
    <t>MURB - Central Electric Metering</t>
  </si>
  <si>
    <t>MURB - Common Area Electric Metering Only</t>
  </si>
  <si>
    <t>Multi-Unit 
Residential Building</t>
  </si>
  <si>
    <t>Toronto Tower Renewal STEP Program Target based on centrally electric metered gas-heated building without central AC. https://www.toronto.ca/community-people/get-involved/community/tower-renewal/</t>
  </si>
  <si>
    <t>School - Elementary</t>
  </si>
  <si>
    <t>School - Secondary</t>
  </si>
  <si>
    <t>School - Admin</t>
  </si>
  <si>
    <t xml:space="preserve">Retail </t>
  </si>
  <si>
    <t>School</t>
  </si>
  <si>
    <t>Sustainable Schools 2021 White Paper Target based on conventional gas-heated electrically cooled buildings without portable classrooms or swimming pool. https://sustainableschools.ca/</t>
  </si>
  <si>
    <t>Large Institutional</t>
  </si>
  <si>
    <t>Multiuse (Custom Blend)</t>
  </si>
  <si>
    <t>Retail</t>
  </si>
  <si>
    <t>Canada Green Building Council national benchmarking project for retail bank branches 2009 – retail buildings without refrigeration equipment or kitchens</t>
  </si>
  <si>
    <t>Multiuse Building - Target Blender</t>
  </si>
  <si>
    <t>Select your Building Types</t>
  </si>
  <si>
    <t>Type %</t>
  </si>
  <si>
    <t xml:space="preserve">Small &amp; Large Institutional </t>
  </si>
  <si>
    <t>Weather</t>
  </si>
  <si>
    <t>Toronto Airport 2019. https://climate.weather.gc.ca/historical_data/search_historic_data_e.html</t>
  </si>
  <si>
    <t>Blended Target</t>
  </si>
  <si>
    <t>GHG Emissions</t>
  </si>
  <si>
    <r>
      <rPr>
        <b/>
        <u/>
        <sz val="11"/>
        <color theme="1"/>
        <rFont val="Arial"/>
        <family val="2"/>
      </rPr>
      <t>Electricity:</t>
    </r>
    <r>
      <rPr>
        <sz val="11"/>
        <color theme="1"/>
        <rFont val="Arial"/>
        <family val="2"/>
      </rPr>
      <t xml:space="preserve">
National Inventory Report 1990 - 2019: Greenhouse Gas Sources and Sinks in Canada (submitted in 2021)
Part 3, Annex 13  Electricity in Canada: Summary and Intensity Tables
</t>
    </r>
    <r>
      <rPr>
        <b/>
        <u/>
        <sz val="11"/>
        <color theme="1"/>
        <rFont val="Arial"/>
        <family val="2"/>
      </rPr>
      <t>Natural Gas:</t>
    </r>
    <r>
      <rPr>
        <sz val="11"/>
        <color theme="1"/>
        <rFont val="Arial"/>
        <family val="2"/>
      </rPr>
      <t xml:space="preserve">
Emission factors for Natural Gas published in National Inventory Report and 100-year global warming potentials from the IPCC’s 4th Assessment report (2012)</t>
    </r>
  </si>
  <si>
    <t>Assumptions</t>
  </si>
  <si>
    <t>Type</t>
  </si>
  <si>
    <t>Unit</t>
  </si>
  <si>
    <t>Value</t>
  </si>
  <si>
    <t>Electricity unit cost</t>
  </si>
  <si>
    <t>$/kWh</t>
  </si>
  <si>
    <t>kg/kWh</t>
  </si>
  <si>
    <t>Natural gas unit cost</t>
  </si>
  <si>
    <t>$/m³</t>
  </si>
  <si>
    <t>GHG emissions from natural gas, CO2e</t>
  </si>
  <si>
    <t>kg/m³</t>
  </si>
  <si>
    <t>m3/kLbs</t>
  </si>
  <si>
    <r>
      <t xml:space="preserve">The Target Savings Calculator template helps you to estimate </t>
    </r>
    <r>
      <rPr>
        <b/>
        <u/>
        <sz val="12"/>
        <color theme="1"/>
        <rFont val="Arial"/>
        <family val="2"/>
      </rPr>
      <t>energy, cost, and GHG emissions savings potential</t>
    </r>
    <r>
      <rPr>
        <b/>
        <sz val="12"/>
        <color theme="1"/>
        <rFont val="Arial"/>
        <family val="2"/>
      </rPr>
      <t xml:space="preserve"> for your buildings by setting a target based on either the top 10% or top 25% of similar buildings.</t>
    </r>
  </si>
  <si>
    <t>Warehouse</t>
  </si>
  <si>
    <t>The table will then calculate your building's energy use intensity (EUI) and associated GHG emissions, and will set targets for energy use and GHG emission reductions.</t>
  </si>
  <si>
    <t>Warehouses</t>
  </si>
  <si>
    <t>Targets sourced from the Climate Challenge network's data set of instutional buildings as of 2021</t>
  </si>
  <si>
    <t>Targets sourced from the 2021 EWRB data set. https://data.ontario.ca/dataset/energy-and-water-usage-of-large-buildings-in-ontario</t>
  </si>
  <si>
    <t>Steam to equivalent Natural gas conversion - Efficiency</t>
  </si>
  <si>
    <t>Small Institutional</t>
  </si>
  <si>
    <t xml:space="preserve">REALPAC 20 by '15 Target based on conventional gas-heated electrically cooled double glazed building without substantial process loads. (Enwave chilled water and steam converted to electricity and natural gas, using the assumptions shown below) https://realpac.ca/   </t>
  </si>
  <si>
    <t>kWh/tonHr</t>
  </si>
  <si>
    <t>Colour Key</t>
  </si>
  <si>
    <t>Red - The cell is missing required information</t>
  </si>
  <si>
    <t>Green - Utility is exceeding the performance of the selected target (appears on utility sections of calculator)</t>
  </si>
  <si>
    <t>Yellow - Utility is exceeding the performance of the selected target (appears on Target Savings section of calculator)</t>
  </si>
  <si>
    <t>Energy Benchmarking Data Snapshots (canada.ca)</t>
  </si>
  <si>
    <t>Canadian Energy Use Intensity by Property Type (energystar.gov)</t>
  </si>
  <si>
    <t>&lt;- shows top decile + median</t>
  </si>
  <si>
    <t>&lt;-assume all median values</t>
  </si>
  <si>
    <t>Column2</t>
  </si>
  <si>
    <t>Energy</t>
  </si>
  <si>
    <r>
      <t>Total Actual EUI (ekWh/ft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)</t>
    </r>
  </si>
  <si>
    <t>GHG emissions from electricity generation, CO2e</t>
  </si>
  <si>
    <t>Annual District Chilled Water Consumption (TonHrs)</t>
  </si>
  <si>
    <t>Annual District Steam Consumption (kLbs)</t>
  </si>
  <si>
    <t>Natural Gas</t>
  </si>
  <si>
    <t>Conversion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</si>
</sst>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$&quot;#,##0"/>
    <numFmt numFmtId="165" formatCode="0.0"/>
    <numFmt numFmtId="166" formatCode="0;\-0;;@\,"/>
    <numFmt numFmtId="167" formatCode="0.0;\-0.0;;@\,"/>
    <numFmt numFmtId="168" formatCode="_-* #,##0_-;\-* #,##0_-;_-* &quot;-&quot;??_-;_-@_-"/>
    <numFmt numFmtId="169" formatCode="#,##0.0;\-#,##0.0;;@\,"/>
    <numFmt numFmtId="170" formatCode="#,##0;\-#,##0;;@\,"/>
  </numFmts>
  <fonts count="2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theme="1"/>
      <name val="Arial"/>
      <family val="2"/>
    </font>
    <font>
      <b/>
      <sz val="14"/>
      <color theme="0"/>
      <name val="Arial Black"/>
      <family val="2"/>
    </font>
    <font>
      <b/>
      <sz val="12"/>
      <color theme="1"/>
      <name val="Arial"/>
      <family val="2"/>
    </font>
    <font>
      <b/>
      <u/>
      <sz val="12"/>
      <color theme="1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5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u/>
      <sz val="11"/>
      <color theme="1"/>
      <name val="Arial"/>
      <family val="2"/>
    </font>
    <font>
      <sz val="8"/>
      <name val="Arial"/>
      <family val="2"/>
      <scheme val="minor"/>
    </font>
    <font>
      <b/>
      <sz val="10"/>
      <color rgb="FF000000"/>
      <name val="Arial"/>
      <family val="2"/>
    </font>
    <font>
      <b/>
      <sz val="11"/>
      <color theme="1"/>
      <name val="Arial"/>
      <family val="2"/>
      <scheme val="minor"/>
    </font>
    <font>
      <b/>
      <sz val="11"/>
      <color theme="5"/>
      <name val="Arial"/>
      <family val="2"/>
      <scheme val="minor"/>
    </font>
    <font>
      <sz val="11"/>
      <color rgb="FFC00000"/>
      <name val="Arial"/>
      <family val="2"/>
      <scheme val="minor"/>
    </font>
    <font>
      <i/>
      <sz val="11"/>
      <color theme="0" tint="-0.499984740745262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0" fillId="11" borderId="0" xfId="0" applyFill="1"/>
    <xf numFmtId="0" fontId="0" fillId="12" borderId="0" xfId="0" applyFill="1"/>
    <xf numFmtId="0" fontId="3" fillId="12" borderId="0" xfId="0" applyFont="1" applyFill="1"/>
    <xf numFmtId="0" fontId="4" fillId="12" borderId="0" xfId="0" applyFont="1" applyFill="1"/>
    <xf numFmtId="0" fontId="3" fillId="11" borderId="0" xfId="0" applyFont="1" applyFill="1"/>
    <xf numFmtId="0" fontId="6" fillId="13" borderId="0" xfId="2" applyFont="1" applyFill="1"/>
    <xf numFmtId="0" fontId="3" fillId="13" borderId="0" xfId="0" applyFont="1" applyFill="1"/>
    <xf numFmtId="165" fontId="0" fillId="11" borderId="0" xfId="0" applyNumberFormat="1" applyFill="1"/>
    <xf numFmtId="0" fontId="8" fillId="11" borderId="0" xfId="0" applyFont="1" applyFill="1"/>
    <xf numFmtId="0" fontId="9" fillId="14" borderId="0" xfId="0" applyFont="1" applyFill="1" applyAlignment="1">
      <alignment horizontal="center"/>
    </xf>
    <xf numFmtId="0" fontId="3" fillId="0" borderId="0" xfId="0" applyFont="1"/>
    <xf numFmtId="0" fontId="4" fillId="11" borderId="0" xfId="0" applyFont="1" applyFill="1"/>
    <xf numFmtId="0" fontId="10" fillId="14" borderId="12" xfId="0" applyFont="1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/>
    </xf>
    <xf numFmtId="0" fontId="10" fillId="14" borderId="13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9" borderId="15" xfId="0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/>
    </xf>
    <xf numFmtId="9" fontId="3" fillId="10" borderId="3" xfId="1" applyFont="1" applyFill="1" applyBorder="1" applyAlignment="1" applyProtection="1">
      <alignment horizontal="center"/>
    </xf>
    <xf numFmtId="9" fontId="3" fillId="10" borderId="1" xfId="1" applyFont="1" applyFill="1" applyBorder="1" applyAlignment="1" applyProtection="1">
      <alignment horizontal="center"/>
    </xf>
    <xf numFmtId="3" fontId="3" fillId="10" borderId="2" xfId="0" applyNumberFormat="1" applyFont="1" applyFill="1" applyBorder="1" applyAlignment="1">
      <alignment horizontal="center"/>
    </xf>
    <xf numFmtId="0" fontId="3" fillId="0" borderId="11" xfId="0" applyFont="1" applyBorder="1" applyProtection="1">
      <protection locked="0"/>
    </xf>
    <xf numFmtId="3" fontId="3" fillId="11" borderId="1" xfId="0" applyNumberFormat="1" applyFont="1" applyFill="1" applyBorder="1" applyProtection="1">
      <protection locked="0"/>
    </xf>
    <xf numFmtId="3" fontId="3" fillId="11" borderId="1" xfId="0" applyNumberFormat="1" applyFont="1" applyFill="1" applyBorder="1" applyAlignment="1" applyProtection="1">
      <alignment horizontal="center"/>
      <protection locked="0"/>
    </xf>
    <xf numFmtId="3" fontId="3" fillId="7" borderId="1" xfId="0" applyNumberFormat="1" applyFont="1" applyFill="1" applyBorder="1" applyAlignment="1" applyProtection="1">
      <alignment horizontal="center"/>
      <protection locked="0"/>
    </xf>
    <xf numFmtId="3" fontId="3" fillId="4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0" fillId="11" borderId="0" xfId="0" applyFill="1" applyProtection="1">
      <protection locked="0"/>
    </xf>
    <xf numFmtId="0" fontId="0" fillId="0" borderId="0" xfId="0" applyProtection="1">
      <protection locked="0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11" borderId="1" xfId="0" applyFont="1" applyFill="1" applyBorder="1" applyAlignment="1" applyProtection="1">
      <alignment horizontal="center" wrapText="1"/>
      <protection locked="0"/>
    </xf>
    <xf numFmtId="2" fontId="3" fillId="11" borderId="0" xfId="0" applyNumberFormat="1" applyFont="1" applyFill="1" applyAlignment="1">
      <alignment horizontal="center"/>
    </xf>
    <xf numFmtId="0" fontId="3" fillId="11" borderId="4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0" fillId="9" borderId="17" xfId="0" applyFont="1" applyFill="1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 wrapText="1"/>
    </xf>
    <xf numFmtId="0" fontId="10" fillId="14" borderId="25" xfId="0" applyFont="1" applyFill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164" fontId="10" fillId="13" borderId="25" xfId="0" applyNumberFormat="1" applyFont="1" applyFill="1" applyBorder="1" applyAlignment="1">
      <alignment horizontal="center" vertical="center"/>
    </xf>
    <xf numFmtId="3" fontId="10" fillId="13" borderId="25" xfId="0" applyNumberFormat="1" applyFont="1" applyFill="1" applyBorder="1" applyAlignment="1">
      <alignment horizontal="center" vertical="center" wrapText="1"/>
    </xf>
    <xf numFmtId="3" fontId="10" fillId="17" borderId="25" xfId="0" applyNumberFormat="1" applyFont="1" applyFill="1" applyBorder="1" applyAlignment="1">
      <alignment horizontal="center" vertical="center"/>
    </xf>
    <xf numFmtId="0" fontId="10" fillId="17" borderId="25" xfId="0" applyFont="1" applyFill="1" applyBorder="1" applyAlignment="1">
      <alignment horizontal="center" vertical="center"/>
    </xf>
    <xf numFmtId="0" fontId="10" fillId="17" borderId="25" xfId="0" applyFont="1" applyFill="1" applyBorder="1" applyAlignment="1">
      <alignment horizontal="center" vertical="center" wrapText="1"/>
    </xf>
    <xf numFmtId="9" fontId="10" fillId="13" borderId="25" xfId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0" fontId="10" fillId="18" borderId="3" xfId="0" applyFont="1" applyFill="1" applyBorder="1" applyAlignment="1">
      <alignment horizontal="center" vertical="center"/>
    </xf>
    <xf numFmtId="165" fontId="3" fillId="11" borderId="6" xfId="0" applyNumberFormat="1" applyFont="1" applyFill="1" applyBorder="1" applyAlignment="1">
      <alignment horizontal="center"/>
    </xf>
    <xf numFmtId="165" fontId="3" fillId="11" borderId="7" xfId="0" applyNumberFormat="1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 vertical="center" wrapText="1"/>
    </xf>
    <xf numFmtId="165" fontId="3" fillId="11" borderId="19" xfId="0" applyNumberFormat="1" applyFont="1" applyFill="1" applyBorder="1" applyAlignment="1">
      <alignment horizontal="center"/>
    </xf>
    <xf numFmtId="165" fontId="3" fillId="11" borderId="20" xfId="0" applyNumberFormat="1" applyFont="1" applyFill="1" applyBorder="1" applyAlignment="1">
      <alignment horizontal="center"/>
    </xf>
    <xf numFmtId="0" fontId="3" fillId="11" borderId="33" xfId="0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16" fillId="14" borderId="4" xfId="0" applyFont="1" applyFill="1" applyBorder="1" applyAlignment="1">
      <alignment horizontal="center"/>
    </xf>
    <xf numFmtId="0" fontId="16" fillId="14" borderId="37" xfId="0" applyFont="1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 wrapText="1"/>
    </xf>
    <xf numFmtId="0" fontId="3" fillId="11" borderId="22" xfId="0" applyFont="1" applyFill="1" applyBorder="1" applyAlignment="1">
      <alignment horizontal="center" vertical="center" wrapText="1"/>
    </xf>
    <xf numFmtId="0" fontId="0" fillId="11" borderId="23" xfId="0" applyFill="1" applyBorder="1"/>
    <xf numFmtId="9" fontId="0" fillId="11" borderId="38" xfId="1" applyFont="1" applyFill="1" applyBorder="1" applyAlignment="1">
      <alignment horizontal="center"/>
    </xf>
    <xf numFmtId="165" fontId="0" fillId="11" borderId="6" xfId="0" applyNumberFormat="1" applyFill="1" applyBorder="1" applyAlignment="1">
      <alignment horizontal="center"/>
    </xf>
    <xf numFmtId="165" fontId="0" fillId="11" borderId="7" xfId="0" applyNumberFormat="1" applyFill="1" applyBorder="1" applyAlignment="1">
      <alignment horizontal="center"/>
    </xf>
    <xf numFmtId="165" fontId="0" fillId="11" borderId="3" xfId="0" applyNumberFormat="1" applyFill="1" applyBorder="1" applyAlignment="1">
      <alignment horizontal="center"/>
    </xf>
    <xf numFmtId="165" fontId="0" fillId="11" borderId="23" xfId="0" applyNumberFormat="1" applyFill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65" fontId="3" fillId="0" borderId="39" xfId="0" applyNumberFormat="1" applyFont="1" applyBorder="1" applyAlignment="1">
      <alignment horizontal="center"/>
    </xf>
    <xf numFmtId="165" fontId="3" fillId="11" borderId="6" xfId="0" applyNumberFormat="1" applyFont="1" applyFill="1" applyBorder="1" applyAlignment="1">
      <alignment horizontal="center" vertical="center" wrapText="1"/>
    </xf>
    <xf numFmtId="165" fontId="3" fillId="11" borderId="7" xfId="0" applyNumberFormat="1" applyFont="1" applyFill="1" applyBorder="1" applyAlignment="1">
      <alignment horizontal="center" vertical="center" wrapText="1"/>
    </xf>
    <xf numFmtId="165" fontId="0" fillId="11" borderId="24" xfId="0" applyNumberFormat="1" applyFill="1" applyBorder="1" applyAlignment="1">
      <alignment horizontal="center"/>
    </xf>
    <xf numFmtId="165" fontId="0" fillId="11" borderId="38" xfId="0" applyNumberFormat="1" applyFill="1" applyBorder="1" applyAlignment="1">
      <alignment horizontal="center"/>
    </xf>
    <xf numFmtId="165" fontId="3" fillId="11" borderId="1" xfId="0" applyNumberFormat="1" applyFont="1" applyFill="1" applyBorder="1" applyAlignment="1" applyProtection="1">
      <alignment horizontal="center" wrapText="1"/>
      <protection locked="0"/>
    </xf>
    <xf numFmtId="0" fontId="10" fillId="0" borderId="13" xfId="0" applyFont="1" applyBorder="1" applyAlignment="1">
      <alignment horizontal="center" vertical="center"/>
    </xf>
    <xf numFmtId="3" fontId="3" fillId="11" borderId="1" xfId="0" applyNumberFormat="1" applyFont="1" applyFill="1" applyBorder="1" applyAlignment="1">
      <alignment horizontal="right"/>
    </xf>
    <xf numFmtId="167" fontId="3" fillId="7" borderId="1" xfId="0" applyNumberFormat="1" applyFont="1" applyFill="1" applyBorder="1" applyAlignment="1" applyProtection="1">
      <alignment horizontal="center"/>
      <protection locked="0"/>
    </xf>
    <xf numFmtId="0" fontId="10" fillId="11" borderId="13" xfId="0" applyFont="1" applyFill="1" applyBorder="1" applyAlignment="1">
      <alignment horizontal="center" vertical="center" wrapText="1"/>
    </xf>
    <xf numFmtId="0" fontId="10" fillId="11" borderId="25" xfId="0" applyFont="1" applyFill="1" applyBorder="1" applyAlignment="1">
      <alignment horizontal="center" vertical="center" wrapText="1"/>
    </xf>
    <xf numFmtId="3" fontId="10" fillId="11" borderId="25" xfId="0" applyNumberFormat="1" applyFont="1" applyFill="1" applyBorder="1" applyAlignment="1">
      <alignment horizontal="center" vertical="center" wrapText="1"/>
    </xf>
    <xf numFmtId="166" fontId="10" fillId="16" borderId="25" xfId="0" applyNumberFormat="1" applyFont="1" applyFill="1" applyBorder="1" applyAlignment="1">
      <alignment horizontal="center" vertical="center" wrapText="1"/>
    </xf>
    <xf numFmtId="167" fontId="10" fillId="16" borderId="25" xfId="0" applyNumberFormat="1" applyFont="1" applyFill="1" applyBorder="1" applyAlignment="1">
      <alignment horizontal="center" vertical="center" wrapText="1"/>
    </xf>
    <xf numFmtId="167" fontId="10" fillId="20" borderId="25" xfId="0" applyNumberFormat="1" applyFont="1" applyFill="1" applyBorder="1" applyAlignment="1">
      <alignment horizontal="center" vertical="center" wrapText="1"/>
    </xf>
    <xf numFmtId="0" fontId="3" fillId="11" borderId="41" xfId="0" applyFont="1" applyFill="1" applyBorder="1"/>
    <xf numFmtId="0" fontId="3" fillId="11" borderId="40" xfId="0" applyFont="1" applyFill="1" applyBorder="1"/>
    <xf numFmtId="0" fontId="3" fillId="11" borderId="39" xfId="0" applyFont="1" applyFill="1" applyBorder="1"/>
    <xf numFmtId="0" fontId="3" fillId="11" borderId="42" xfId="0" applyFont="1" applyFill="1" applyBorder="1"/>
    <xf numFmtId="168" fontId="3" fillId="4" borderId="1" xfId="3" applyNumberFormat="1" applyFont="1" applyFill="1" applyBorder="1" applyAlignment="1" applyProtection="1">
      <alignment horizontal="center" vertical="center"/>
      <protection locked="0"/>
    </xf>
    <xf numFmtId="169" fontId="3" fillId="7" borderId="1" xfId="0" applyNumberFormat="1" applyFont="1" applyFill="1" applyBorder="1" applyAlignment="1">
      <alignment horizontal="center"/>
    </xf>
    <xf numFmtId="170" fontId="3" fillId="7" borderId="1" xfId="0" applyNumberFormat="1" applyFont="1" applyFill="1" applyBorder="1" applyAlignment="1">
      <alignment horizontal="center"/>
    </xf>
    <xf numFmtId="169" fontId="3" fillId="4" borderId="1" xfId="3" applyNumberFormat="1" applyFont="1" applyFill="1" applyBorder="1" applyAlignment="1">
      <alignment horizontal="center"/>
    </xf>
    <xf numFmtId="170" fontId="3" fillId="4" borderId="1" xfId="0" applyNumberFormat="1" applyFont="1" applyFill="1" applyBorder="1" applyAlignment="1">
      <alignment horizontal="center"/>
    </xf>
    <xf numFmtId="169" fontId="3" fillId="4" borderId="1" xfId="0" applyNumberFormat="1" applyFont="1" applyFill="1" applyBorder="1" applyAlignment="1">
      <alignment horizontal="center"/>
    </xf>
    <xf numFmtId="169" fontId="3" fillId="21" borderId="3" xfId="0" applyNumberFormat="1" applyFont="1" applyFill="1" applyBorder="1" applyAlignment="1">
      <alignment horizontal="center"/>
    </xf>
    <xf numFmtId="170" fontId="10" fillId="16" borderId="25" xfId="0" applyNumberFormat="1" applyFont="1" applyFill="1" applyBorder="1" applyAlignment="1">
      <alignment horizontal="center" vertical="center" wrapText="1"/>
    </xf>
    <xf numFmtId="170" fontId="10" fillId="15" borderId="25" xfId="0" applyNumberFormat="1" applyFont="1" applyFill="1" applyBorder="1" applyAlignment="1">
      <alignment horizontal="center" vertical="center" wrapText="1"/>
    </xf>
    <xf numFmtId="169" fontId="10" fillId="15" borderId="25" xfId="0" applyNumberFormat="1" applyFont="1" applyFill="1" applyBorder="1" applyAlignment="1">
      <alignment horizontal="center" vertical="center" wrapText="1"/>
    </xf>
    <xf numFmtId="170" fontId="10" fillId="15" borderId="25" xfId="3" applyNumberFormat="1" applyFont="1" applyFill="1" applyBorder="1" applyAlignment="1">
      <alignment horizontal="center" vertical="center" wrapText="1"/>
    </xf>
    <xf numFmtId="0" fontId="18" fillId="11" borderId="0" xfId="0" applyFont="1" applyFill="1"/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22" borderId="6" xfId="0" applyFont="1" applyFill="1" applyBorder="1" applyAlignment="1">
      <alignment horizontal="center"/>
    </xf>
    <xf numFmtId="0" fontId="19" fillId="22" borderId="7" xfId="0" applyFont="1" applyFill="1" applyBorder="1" applyAlignment="1">
      <alignment horizontal="center"/>
    </xf>
    <xf numFmtId="166" fontId="0" fillId="11" borderId="0" xfId="0" applyNumberFormat="1" applyFill="1"/>
    <xf numFmtId="0" fontId="3" fillId="11" borderId="43" xfId="0" applyFont="1" applyFill="1" applyBorder="1"/>
    <xf numFmtId="0" fontId="3" fillId="11" borderId="44" xfId="0" applyFont="1" applyFill="1" applyBorder="1"/>
    <xf numFmtId="0" fontId="19" fillId="0" borderId="19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22" borderId="19" xfId="0" applyFont="1" applyFill="1" applyBorder="1" applyAlignment="1">
      <alignment horizontal="center"/>
    </xf>
    <xf numFmtId="0" fontId="19" fillId="22" borderId="44" xfId="0" applyFont="1" applyFill="1" applyBorder="1" applyAlignment="1">
      <alignment horizontal="center"/>
    </xf>
    <xf numFmtId="0" fontId="3" fillId="11" borderId="26" xfId="0" applyFont="1" applyFill="1" applyBorder="1" applyAlignment="1">
      <alignment horizontal="center" vertical="center"/>
    </xf>
    <xf numFmtId="0" fontId="3" fillId="11" borderId="46" xfId="0" applyFont="1" applyFill="1" applyBorder="1" applyAlignment="1">
      <alignment horizontal="center" vertical="center" wrapText="1"/>
    </xf>
    <xf numFmtId="0" fontId="3" fillId="11" borderId="47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/>
    </xf>
    <xf numFmtId="0" fontId="0" fillId="11" borderId="0" xfId="0" applyFill="1" applyBorder="1"/>
    <xf numFmtId="0" fontId="0" fillId="11" borderId="36" xfId="0" applyFill="1" applyBorder="1"/>
    <xf numFmtId="9" fontId="0" fillId="11" borderId="10" xfId="1" applyFont="1" applyFill="1" applyBorder="1" applyAlignment="1">
      <alignment horizontal="center"/>
    </xf>
    <xf numFmtId="0" fontId="0" fillId="24" borderId="6" xfId="0" applyFill="1" applyBorder="1"/>
    <xf numFmtId="0" fontId="0" fillId="19" borderId="8" xfId="0" applyFill="1" applyBorder="1"/>
    <xf numFmtId="0" fontId="0" fillId="11" borderId="0" xfId="0" applyFill="1"/>
    <xf numFmtId="2" fontId="0" fillId="24" borderId="7" xfId="0" applyNumberFormat="1" applyFill="1" applyBorder="1" applyAlignment="1">
      <alignment horizontal="center" vertical="center"/>
    </xf>
    <xf numFmtId="0" fontId="2" fillId="0" borderId="0" xfId="2"/>
    <xf numFmtId="0" fontId="23" fillId="11" borderId="0" xfId="0" applyFont="1" applyFill="1" applyBorder="1"/>
    <xf numFmtId="0" fontId="0" fillId="0" borderId="0" xfId="0" applyBorder="1"/>
    <xf numFmtId="0" fontId="10" fillId="25" borderId="3" xfId="0" applyFont="1" applyFill="1" applyBorder="1" applyAlignment="1">
      <alignment horizontal="center" vertical="center"/>
    </xf>
    <xf numFmtId="166" fontId="10" fillId="27" borderId="25" xfId="0" applyNumberFormat="1" applyFont="1" applyFill="1" applyBorder="1" applyAlignment="1">
      <alignment horizontal="center" vertical="center" wrapText="1"/>
    </xf>
    <xf numFmtId="170" fontId="3" fillId="14" borderId="3" xfId="0" applyNumberFormat="1" applyFont="1" applyFill="1" applyBorder="1" applyAlignment="1">
      <alignment horizontal="center"/>
    </xf>
    <xf numFmtId="0" fontId="0" fillId="23" borderId="6" xfId="0" applyFill="1" applyBorder="1"/>
    <xf numFmtId="165" fontId="0" fillId="24" borderId="7" xfId="0" applyNumberFormat="1" applyFill="1" applyBorder="1" applyAlignment="1">
      <alignment horizontal="center"/>
    </xf>
    <xf numFmtId="0" fontId="0" fillId="11" borderId="0" xfId="0" applyFill="1"/>
    <xf numFmtId="0" fontId="5" fillId="0" borderId="0" xfId="0" applyFont="1" applyAlignment="1">
      <alignment horizontal="left" wrapText="1"/>
    </xf>
    <xf numFmtId="0" fontId="10" fillId="8" borderId="3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19" borderId="16" xfId="0" applyFont="1" applyFill="1" applyBorder="1" applyAlignment="1">
      <alignment horizontal="center" vertical="center" wrapText="1"/>
    </xf>
    <xf numFmtId="0" fontId="10" fillId="19" borderId="27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/>
    </xf>
    <xf numFmtId="0" fontId="10" fillId="14" borderId="18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/>
    </xf>
    <xf numFmtId="0" fontId="10" fillId="14" borderId="16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14" borderId="1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14" borderId="26" xfId="0" applyFont="1" applyFill="1" applyBorder="1" applyAlignment="1">
      <alignment horizontal="center" vertical="center" wrapText="1"/>
    </xf>
    <xf numFmtId="0" fontId="10" fillId="14" borderId="2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 wrapText="1"/>
    </xf>
    <xf numFmtId="0" fontId="10" fillId="11" borderId="27" xfId="0" applyFont="1" applyFill="1" applyBorder="1" applyAlignment="1">
      <alignment horizontal="center" vertical="center" wrapText="1"/>
    </xf>
    <xf numFmtId="0" fontId="14" fillId="14" borderId="16" xfId="0" applyFont="1" applyFill="1" applyBorder="1" applyAlignment="1">
      <alignment horizontal="center" vertical="center" wrapText="1"/>
    </xf>
    <xf numFmtId="0" fontId="14" fillId="14" borderId="27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horizontal="center" vertical="center" wrapText="1"/>
    </xf>
    <xf numFmtId="0" fontId="10" fillId="26" borderId="16" xfId="0" applyFont="1" applyFill="1" applyBorder="1" applyAlignment="1">
      <alignment horizontal="center" vertical="center" wrapText="1"/>
    </xf>
    <xf numFmtId="0" fontId="10" fillId="26" borderId="2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23" fillId="11" borderId="4" xfId="0" applyFont="1" applyFill="1" applyBorder="1" applyAlignment="1">
      <alignment horizontal="left"/>
    </xf>
    <xf numFmtId="0" fontId="23" fillId="11" borderId="47" xfId="0" applyFont="1" applyFill="1" applyBorder="1" applyAlignment="1">
      <alignment horizontal="left"/>
    </xf>
    <xf numFmtId="0" fontId="23" fillId="11" borderId="5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4" fillId="12" borderId="0" xfId="0" applyFont="1" applyFill="1" applyAlignment="1">
      <alignment horizontal="center" vertical="center"/>
    </xf>
    <xf numFmtId="0" fontId="0" fillId="11" borderId="6" xfId="0" applyFill="1" applyBorder="1"/>
    <xf numFmtId="0" fontId="0" fillId="11" borderId="1" xfId="0" applyFill="1" applyBorder="1"/>
    <xf numFmtId="0" fontId="0" fillId="11" borderId="0" xfId="0" applyFill="1"/>
    <xf numFmtId="0" fontId="0" fillId="11" borderId="7" xfId="0" applyFill="1" applyBorder="1"/>
    <xf numFmtId="0" fontId="7" fillId="11" borderId="28" xfId="0" applyFont="1" applyFill="1" applyBorder="1" applyAlignment="1">
      <alignment horizontal="center"/>
    </xf>
    <xf numFmtId="0" fontId="7" fillId="11" borderId="29" xfId="0" applyFont="1" applyFill="1" applyBorder="1" applyAlignment="1">
      <alignment horizontal="center"/>
    </xf>
    <xf numFmtId="0" fontId="7" fillId="11" borderId="30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11" borderId="34" xfId="0" applyFont="1" applyFill="1" applyBorder="1" applyAlignment="1">
      <alignment horizontal="center"/>
    </xf>
    <xf numFmtId="0" fontId="7" fillId="11" borderId="35" xfId="0" applyFont="1" applyFill="1" applyBorder="1" applyAlignment="1">
      <alignment horizontal="center"/>
    </xf>
    <xf numFmtId="0" fontId="3" fillId="11" borderId="7" xfId="0" applyFont="1" applyFill="1" applyBorder="1" applyAlignment="1">
      <alignment vertical="top" wrapText="1"/>
    </xf>
    <xf numFmtId="0" fontId="3" fillId="11" borderId="10" xfId="0" applyFont="1" applyFill="1" applyBorder="1" applyAlignment="1">
      <alignment vertical="top" wrapText="1"/>
    </xf>
    <xf numFmtId="0" fontId="3" fillId="11" borderId="6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7" fillId="11" borderId="36" xfId="0" applyFont="1" applyFill="1" applyBorder="1" applyAlignment="1">
      <alignment horizontal="center"/>
    </xf>
    <xf numFmtId="0" fontId="15" fillId="11" borderId="34" xfId="0" applyFont="1" applyFill="1" applyBorder="1" applyAlignment="1">
      <alignment horizontal="center"/>
    </xf>
    <xf numFmtId="0" fontId="15" fillId="11" borderId="36" xfId="0" applyFont="1" applyFill="1" applyBorder="1" applyAlignment="1">
      <alignment horizontal="center"/>
    </xf>
    <xf numFmtId="0" fontId="15" fillId="11" borderId="3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8" fillId="11" borderId="0" xfId="0" applyFont="1" applyFill="1"/>
    <xf numFmtId="0" fontId="3" fillId="0" borderId="7" xfId="0" applyFont="1" applyBorder="1" applyAlignment="1">
      <alignment wrapText="1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0" fillId="11" borderId="42" xfId="0" applyFill="1" applyBorder="1"/>
    <xf numFmtId="0" fontId="0" fillId="11" borderId="48" xfId="0" applyFill="1" applyBorder="1"/>
    <xf numFmtId="0" fontId="0" fillId="11" borderId="36" xfId="0" applyFill="1" applyBorder="1"/>
    <xf numFmtId="0" fontId="19" fillId="0" borderId="7" xfId="0" applyFont="1" applyBorder="1" applyAlignment="1">
      <alignment vertical="center" wrapText="1"/>
    </xf>
    <xf numFmtId="0" fontId="17" fillId="11" borderId="36" xfId="0" applyFont="1" applyFill="1" applyBorder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3" fillId="11" borderId="45" xfId="0" applyFont="1" applyFill="1" applyBorder="1" applyAlignment="1">
      <alignment horizontal="center" vertical="center"/>
    </xf>
    <xf numFmtId="0" fontId="3" fillId="11" borderId="26" xfId="0" applyFont="1" applyFill="1" applyBorder="1" applyAlignment="1">
      <alignment horizontal="center" vertical="center"/>
    </xf>
    <xf numFmtId="0" fontId="3" fillId="11" borderId="4" xfId="0" applyFont="1" applyFill="1" applyBorder="1"/>
    <xf numFmtId="0" fontId="3" fillId="11" borderId="47" xfId="0" applyFont="1" applyFill="1" applyBorder="1"/>
    <xf numFmtId="0" fontId="3" fillId="11" borderId="6" xfId="0" applyFont="1" applyFill="1" applyBorder="1"/>
    <xf numFmtId="0" fontId="3" fillId="11" borderId="1" xfId="0" applyFont="1" applyFill="1" applyBorder="1"/>
    <xf numFmtId="169" fontId="3" fillId="7" borderId="1" xfId="0" applyNumberFormat="1" applyFont="1" applyFill="1" applyBorder="1" applyAlignment="1" applyProtection="1">
      <alignment horizontal="center"/>
    </xf>
    <xf numFmtId="170" fontId="3" fillId="7" borderId="1" xfId="0" applyNumberFormat="1" applyFont="1" applyFill="1" applyBorder="1" applyAlignment="1" applyProtection="1">
      <alignment horizontal="center"/>
    </xf>
    <xf numFmtId="169" fontId="3" fillId="21" borderId="1" xfId="0" applyNumberFormat="1" applyFont="1" applyFill="1" applyBorder="1" applyAlignment="1">
      <alignment horizontal="center"/>
    </xf>
    <xf numFmtId="2" fontId="3" fillId="11" borderId="5" xfId="0" applyNumberFormat="1" applyFont="1" applyFill="1" applyBorder="1" applyAlignment="1" applyProtection="1">
      <alignment horizontal="center"/>
      <protection locked="0"/>
    </xf>
    <xf numFmtId="0" fontId="3" fillId="24" borderId="7" xfId="0" applyFont="1" applyFill="1" applyBorder="1" applyAlignment="1" applyProtection="1">
      <alignment horizontal="center"/>
      <protection locked="0"/>
    </xf>
    <xf numFmtId="2" fontId="3" fillId="11" borderId="7" xfId="0" applyNumberFormat="1" applyFont="1" applyFill="1" applyBorder="1" applyAlignment="1" applyProtection="1">
      <alignment horizontal="center"/>
      <protection locked="0"/>
    </xf>
    <xf numFmtId="0" fontId="0" fillId="14" borderId="6" xfId="0" applyFill="1" applyBorder="1" applyProtection="1">
      <protection locked="0"/>
    </xf>
    <xf numFmtId="9" fontId="0" fillId="14" borderId="2" xfId="1" applyFont="1" applyFill="1" applyBorder="1" applyAlignment="1" applyProtection="1">
      <alignment horizontal="center"/>
      <protection locked="0"/>
    </xf>
    <xf numFmtId="0" fontId="0" fillId="14" borderId="19" xfId="0" applyFill="1" applyBorder="1" applyProtection="1">
      <protection locked="0"/>
    </xf>
    <xf numFmtId="9" fontId="0" fillId="14" borderId="18" xfId="1" applyFont="1" applyFill="1" applyBorder="1" applyAlignment="1" applyProtection="1">
      <alignment horizontal="center"/>
      <protection locked="0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3" fontId="10" fillId="14" borderId="25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5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CC0000"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&quot;$&quot;#,##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9" formatCode="#,##0.0;\-#,##0.0;;@\,"/>
      <fill>
        <patternFill patternType="solid">
          <fgColor indexed="64"/>
          <bgColor rgb="FFFFCC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#,##0;\-#,##0;;@\,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#,##0;\-#,##0;;@\,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9" formatCode="#,##0.0;\-#,##0.0;;@\,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#,##0;\-#,##0;;@\,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9" formatCode="#,##0.0;\-#,##0.0;;@\,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8" formatCode="_-* #,##0_-;\-* #,##0_-;_-* &quot;-&quot;??_-;_-@_-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#,##0;\-#,##0;;@\,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9" formatCode="#,##0.0;\-#,##0.0;;@\,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#,##0;\-#,##0;;@\,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9" formatCode="#,##0.0;\-#,##0.0;;@\,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0.0;\-0.0;;@\,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0000"/>
      <color rgb="FFFF9999"/>
      <color rgb="FFFFCCCC"/>
      <color rgb="FFFF7C80"/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1173706</xdr:colOff>
      <xdr:row>2</xdr:row>
      <xdr:rowOff>142499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E57C1A-BA40-4D4A-AAE4-F1C566F83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8777" cy="588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1168880</xdr:colOff>
      <xdr:row>2</xdr:row>
      <xdr:rowOff>132888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20641A-4C6A-461F-9311-048DB0F30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8777" cy="5917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1159113</xdr:colOff>
      <xdr:row>2</xdr:row>
      <xdr:rowOff>139958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09ED41-68EB-472E-A62F-A92B624DD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8777" cy="5917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917792-3D74-4DA2-8173-1995678953F3}" name="Table1" displayName="Table1" ref="B17:AH31" totalsRowShown="0" headerRowDxfId="52" headerRowBorderDxfId="51" tableBorderDxfId="50" totalsRowBorderDxfId="49">
  <autoFilter ref="B17:AH31" xr:uid="{52917792-3D74-4DA2-8173-1995678953F3}"/>
  <tableColumns count="33">
    <tableColumn id="1" xr3:uid="{3F174B15-D82E-425A-BC00-AA4EEF711B87}" name="Column1" dataDxfId="48"/>
    <tableColumn id="2" xr3:uid="{B673AF4E-20A8-4AAD-8537-A284D571D837}" name="UU Area" dataDxfId="47"/>
    <tableColumn id="3" xr3:uid="{7FC80FCA-E6E3-41CC-9EAE-E7A2CDB57D38}" name="Column3" dataDxfId="46"/>
    <tableColumn id="4" xr3:uid="{ACF19DE2-B271-4B5D-B9AA-CCA163074357}" name="Area sqft" dataDxfId="45">
      <calculatedColumnFormula>IF(AND(ISNUMBER(C18),D18&lt;&gt;""),IF(D18="m²",CONVERT(C18,"m^2","ft^2"),C18),"")</calculatedColumnFormula>
    </tableColumn>
    <tableColumn id="5" xr3:uid="{EEB673DF-9D31-404C-B046-39CFE1E7B6FD}" name="Building Type" dataDxfId="44"/>
    <tableColumn id="25" xr3:uid="{DD9EEDBC-2B84-4966-96F5-3C947DE53289}" name="Target Type" dataDxfId="43"/>
    <tableColumn id="26" xr3:uid="{19E4D998-AC6E-4791-B46F-4B03F8D5E7C4}" name="Electricity Target" dataDxfId="42">
      <calculatedColumnFormula>IF(Table1[[#This Row],[Target Type]]&lt;&gt;"",VLOOKUP(F18,'Targets and Assumptions'!$B$11:$G$21,IF(Table1[[#This Row],[Target Type]]="Top Quartile",3,5),FALSE),"")</calculatedColumnFormula>
    </tableColumn>
    <tableColumn id="27" xr3:uid="{284F0E1D-6350-41D0-AB75-8A56D8257185}" name="Natural Gas Target" dataDxfId="41">
      <calculatedColumnFormula>IF(Table1[[#This Row],[Target Type]]&lt;&gt;"",VLOOKUP(F18,'Targets and Assumptions'!$B$11:$G$21,IF(Table1[[#This Row],[Target Type]]="Top Quartile",4,6),FALSE),"")</calculatedColumnFormula>
    </tableColumn>
    <tableColumn id="6" xr3:uid="{BD428FC5-CE0B-4EB6-9F7D-F2F8518C159D}" name="Elec Annual Consump kWh" dataDxfId="40"/>
    <tableColumn id="30" xr3:uid="{E7F38C88-BB87-42A9-BD76-6E348E6753F2}" name="Chill Water Annual Consumption" dataDxfId="39"/>
    <tableColumn id="31" xr3:uid="{243FDD9D-93DB-4C47-AD7B-5407EAA204CE}" name="Annual Consumption kWh" dataDxfId="38">
      <calculatedColumnFormula>(Table1[[#This Row],[Elec Annual Consump kWh]]+(Table1[[#This Row],[Chill Water Annual Consumption]]*CHW.Elec.Convert))</calculatedColumnFormula>
    </tableColumn>
    <tableColumn id="7" xr3:uid="{50F8FC49-6B63-4CCD-85DF-34385996205E}" name="Elec Actual EUI" dataDxfId="37">
      <calculatedColumnFormula>IF(AND(ISNUMBER(C18),L18&lt;&gt;0),L18/E18,0)</calculatedColumnFormula>
    </tableColumn>
    <tableColumn id="8" xr3:uid="{30EB022B-3B2C-4EBD-B69E-12EC94047106}" name="Elec Actual GHG Tonne" dataDxfId="36">
      <calculatedColumnFormula>IF(AND(ISNUMBER(C18),L18&lt;&gt;0),(M18*E18*Elec.GHG)/1000,0)</calculatedColumnFormula>
    </tableColumn>
    <tableColumn id="9" xr3:uid="{741A7112-28B9-4387-BE4C-47288D746469}" name="Elec Target EUI" dataDxfId="35">
      <calculatedColumnFormula>IF(AND(ISNUMBER(C18),L18&lt;&gt;0),IF(Table1[[#This Row],[Electricity Target]]&gt;M18,M18,Table1[[#This Row],[Electricity Target]]),0)</calculatedColumnFormula>
    </tableColumn>
    <tableColumn id="10" xr3:uid="{F8E02D8B-CA3D-4A26-8ACC-C8C976F9C000}" name="Elec Target GHG Tonne" dataDxfId="34">
      <calculatedColumnFormula>IF(AND(ISNUMBER(C18),L18&lt;&gt;0),(O18*E18*Elec.GHG)/1000,0)</calculatedColumnFormula>
    </tableColumn>
    <tableColumn id="11" xr3:uid="{179FC70B-E841-4940-9DB2-F7D5F194CEFA}" name="UU NG Consump" dataDxfId="33"/>
    <tableColumn id="12" xr3:uid="{D20B2BCA-9E49-4E36-84A3-5832ACBC5A42}" name="NG input Unit" dataDxfId="32"/>
    <tableColumn id="32" xr3:uid="{B0545AF7-8BAF-41A0-A570-3C83E186E15D}" name="kLbs Steam" dataDxfId="31" dataCellStyle="Comma"/>
    <tableColumn id="28" xr3:uid="{07EF1456-7533-4414-9C2D-B3C223CD4EC0}" name="NG Consump m3" dataDxfId="30">
      <calculatedColumnFormula>IF(Table1[[#This Row],[NG input Unit]]&lt;&gt;"",IF(Table1[[#This Row],[NG input Unit]]="GJ",Table1[[#This Row],[UU NG Consump]]*26.853,Table1[[#This Row],[UU NG Consump]]),0)+(Table1[[#This Row],[kLbs Steam]]*Stm.Gas.Convert)</calculatedColumnFormula>
    </tableColumn>
    <tableColumn id="13" xr3:uid="{D2C3F0AD-06DF-48F3-90E0-513B670F2E75}" name="NG Actual EUI" dataDxfId="29" dataCellStyle="Comma">
      <calculatedColumnFormula>IF(AND(ISNUMBER(Table1[[#This Row],[UU Area]]),Table1[[#This Row],[NG Consump m3]]&lt;&gt;0),(Table1[[#This Row],[NG Consump m3]]*10.395)/Table1[[#This Row],[Area sqft]],0)</calculatedColumnFormula>
    </tableColumn>
    <tableColumn id="14" xr3:uid="{2BD951E4-6B69-4150-8C27-ED992778FA0C}" name="NG Actual GHG Tonne" dataDxfId="28">
      <calculatedColumnFormula>IF(AND(ISNUMBER(Table1[[#This Row],[UU Area]]),Table1[[#This Row],[NG Consump m3]]&lt;&gt;0),(((Table1[[#This Row],[NG Actual EUI]]*Table1[[#This Row],[Area sqft]]*Gas.GHG)/10.395)/1000),0)</calculatedColumnFormula>
    </tableColumn>
    <tableColumn id="15" xr3:uid="{A9A458A7-1B84-494E-9322-15BEB2F30592}" name="NG Target EUI" dataDxfId="27">
      <calculatedColumnFormula>IF(AND(Table1[[#This Row],[Natural Gas Target]]&lt;&gt;0,Table1[[#This Row],[NG Consump m3]]&lt;&gt;0),IF(Table1[[#This Row],[Natural Gas Target]]&gt;Table1[[#This Row],[NG Actual EUI]],Table1[[#This Row],[NG Actual EUI]],Table1[[#This Row],[Natural Gas Target]]),0)</calculatedColumnFormula>
    </tableColumn>
    <tableColumn id="16" xr3:uid="{258EE19E-7E2C-463B-A1DC-2960512FCBE1}" name="NG Target GHG Tonne" dataDxfId="26">
      <calculatedColumnFormula>IF(AND(ISNUMBER(Table1[[#This Row],[UU Area]]),Table1[[#This Row],[NG Consump m3]]&lt;&gt;0),((Table1[[#This Row],[NG Target EUI]]*Table1[[#This Row],[Area sqft]]*Gas.GHG)/10.395)/1000,0)</calculatedColumnFormula>
    </tableColumn>
    <tableColumn id="33" xr3:uid="{6EAD2CB4-DE40-4E70-B016-2918044C5264}" name="Column2" dataDxfId="25">
      <calculatedColumnFormula>Table1[[#This Row],[Elec Actual EUI]]+Table1[[#This Row],[NG Actual EUI]]</calculatedColumnFormula>
    </tableColumn>
    <tableColumn id="29" xr3:uid="{808012A3-A910-4DA2-B726-F504A4327C71}" name="GHGIntensity" dataDxfId="24">
      <calculatedColumnFormula>IF(AND(Table1[[#This Row],[Area sqft]]&lt;&gt;0,Table1[[#This Row],[Area sqft]]&lt;&gt;""),((Table1[[#This Row],[NG Consump m3]]*Gas.GHG)+(Table1[[#This Row],[Annual Consumption kWh]]*Elec.GHG))/Table1[[#This Row],[Area sqft]],0)</calculatedColumnFormula>
    </tableColumn>
    <tableColumn id="17" xr3:uid="{039048BE-F338-43BF-8B6E-B75D57C1F162}" name="Elec % Target Save" dataDxfId="23" dataCellStyle="Percent">
      <calculatedColumnFormula>IF(Table1[[#This Row],[Elec Actual EUI]]&lt;&gt;0,(Table1[[#This Row],[Elec Actual EUI]]-Table1[[#This Row],[Elec Target EUI]])/Table1[[#This Row],[Elec Actual EUI]],"")</calculatedColumnFormula>
    </tableColumn>
    <tableColumn id="18" xr3:uid="{CCC6F9DA-172C-49B6-BAE4-97ADB7697E96}" name="Elec $/yr Target Save" dataDxfId="22">
      <calculatedColumnFormula>IF(AND(ISNUMBER(Table1[[#This Row],[Area sqft]]),Table1[[#This Row],[Annual Consumption kWh]]&lt;&gt;0),(Table1[[#This Row],[Elec Actual EUI]]-Table1[[#This Row],[Elec Target EUI]])*Table1[[#This Row],[Area sqft]]*Elec.Cost,"")</calculatedColumnFormula>
    </tableColumn>
    <tableColumn id="19" xr3:uid="{23C389FE-3789-4BE4-B2F9-68684ABF1185}" name="NG % Target Save" dataDxfId="21" dataCellStyle="Percent">
      <calculatedColumnFormula>IF(Table1[[#This Row],[NG Actual EUI]]&lt;&gt;0,(Table1[[#This Row],[NG Actual EUI]]-Table1[[#This Row],[NG Target EUI]])/Table1[[#This Row],[NG Actual EUI]],"")</calculatedColumnFormula>
    </tableColumn>
    <tableColumn id="20" xr3:uid="{FA01488B-8CC7-4327-BFE1-FA4403D7A5F1}" name="NG $/yr Target Save" dataDxfId="20">
      <calculatedColumnFormula>IF(AND(ISNUMBER(Table1[[#This Row],[Area sqft]]),Table1[[#This Row],[NG Consump m3]]&lt;&gt;0),((Table1[[#This Row],[NG Actual EUI]]-Table1[[#This Row],[NG Target EUI]])/10.395)*Table1[[#This Row],[Area sqft]]*Gas.Cost,"")</calculatedColumnFormula>
    </tableColumn>
    <tableColumn id="21" xr3:uid="{0457D14A-1757-4A16-A5DA-98F1E1122C4E}" name="Tot Ener % Target Save" dataDxfId="19" dataCellStyle="Percent">
      <calculatedColumnFormula>IF((Table1[[#This Row],[Elec Actual EUI]]+Table1[[#This Row],[NG Actual EUI]])&lt;&gt;0,((Table1[[#This Row],[Elec Actual EUI]]+Table1[[#This Row],[NG Actual EUI]])-(Table1[[#This Row],[Elec Target EUI]]+Table1[[#This Row],[NG Target EUI]]))/(Table1[[#This Row],[Elec Actual EUI]]+Table1[[#This Row],[NG Actual EUI]]),"")</calculatedColumnFormula>
    </tableColumn>
    <tableColumn id="22" xr3:uid="{01554D51-177F-4F7A-8E48-D82935EC064D}" name="Tot Ener $/yr Target Save" dataDxfId="18">
      <calculatedColumnFormula>IF(AND(Table1[[#This Row],[Annual Consumption kWh]]&lt;&gt;0,Table1[[#This Row],[NG Consump m3]]&lt;&gt;0),Table1[[#This Row],[Elec $/yr Target Save]]+Table1[[#This Row],[NG $/yr Target Save]],"")</calculatedColumnFormula>
    </tableColumn>
    <tableColumn id="23" xr3:uid="{A79899C3-66D5-4642-96A6-B4E77B061AE1}" name="Emiss % Target Save" dataDxfId="17" dataCellStyle="Percent">
      <calculatedColumnFormula>IF((Table1[[#This Row],[Elec Actual GHG Tonne]]+Table1[[#This Row],[NG Actual GHG Tonne]])&lt;&gt;0,((Table1[[#This Row],[Elec Actual GHG Tonne]]+Table1[[#This Row],[NG Actual GHG Tonne]])-(Table1[[#This Row],[Elec Target GHG Tonne]]+Table1[[#This Row],[NG Target GHG Tonne]]))/(Table1[[#This Row],[Elec Actual GHG Tonne]]+Table1[[#This Row],[NG Actual GHG Tonne]]),"")</calculatedColumnFormula>
    </tableColumn>
    <tableColumn id="24" xr3:uid="{2D5A031E-5F7C-40B8-ABF4-0BCB123E70E3}" name="Emiss Tonn/yr Target Save" dataDxfId="16">
      <calculatedColumnFormula>IF((Table1[[#This Row],[Annual Consumption kWh]]+Table1[[#This Row],[NG Consump m3]])&lt;&gt;0,( (Table1[[#This Row],[Elec Actual GHG Tonne]]+Table1[[#This Row],[NG Actual GHG Tonne]])-(Table1[[#This Row],[Elec Target GHG Tonne]]+Table1[[#This Row],[NG Target GHG Tonne]]) ),"")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portfoliomanager.energystar.gov/pdf/reference/Canadian%20National%20Median%20Table.pdf" TargetMode="External"/><Relationship Id="rId1" Type="http://schemas.openxmlformats.org/officeDocument/2006/relationships/hyperlink" Target="https://natural-resources.canada.ca/energy-efficiency/energy-star-canada/energy-star-for-buildings/energy-benchmarking-data-snapshots/2421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E857B-C382-46D7-B009-9ADA06FC04EA}">
  <dimension ref="A1:AA35"/>
  <sheetViews>
    <sheetView tabSelected="1" zoomScale="90" zoomScaleNormal="90" workbookViewId="0">
      <selection activeCell="J25" sqref="J25"/>
    </sheetView>
  </sheetViews>
  <sheetFormatPr defaultRowHeight="14" x14ac:dyDescent="0.3"/>
  <cols>
    <col min="1" max="1" width="16.25" customWidth="1"/>
    <col min="2" max="2" width="3.33203125" customWidth="1"/>
  </cols>
  <sheetData>
    <row r="1" spans="1:27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1"/>
      <c r="Z1" s="1"/>
      <c r="AA1" s="1"/>
    </row>
    <row r="2" spans="1:27" ht="22" x14ac:dyDescent="0.65">
      <c r="A2" s="1"/>
      <c r="B2" s="3"/>
      <c r="C2" s="3"/>
      <c r="D2" s="3"/>
      <c r="E2" s="3"/>
      <c r="F2" s="3"/>
      <c r="G2" s="3"/>
      <c r="H2" s="3"/>
      <c r="I2" s="3"/>
      <c r="J2" s="3"/>
      <c r="K2" s="4" t="s">
        <v>0</v>
      </c>
      <c r="L2" s="3"/>
      <c r="M2" s="3"/>
      <c r="N2" s="3"/>
      <c r="O2" s="3"/>
      <c r="P2" s="3"/>
      <c r="Q2" s="2"/>
      <c r="R2" s="2"/>
      <c r="S2" s="2"/>
      <c r="T2" s="2"/>
      <c r="U2" s="1"/>
      <c r="V2" s="1"/>
      <c r="W2" s="1"/>
      <c r="X2" s="1"/>
      <c r="Y2" s="1"/>
      <c r="Z2" s="1"/>
      <c r="AA2" s="1"/>
    </row>
    <row r="3" spans="1:27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2"/>
      <c r="S3" s="2"/>
      <c r="T3" s="2"/>
      <c r="U3" s="1"/>
      <c r="V3" s="1"/>
      <c r="W3" s="1"/>
      <c r="X3" s="1"/>
      <c r="Y3" s="1"/>
      <c r="Z3" s="1"/>
      <c r="AA3" s="1"/>
    </row>
    <row r="4" spans="1:27" x14ac:dyDescent="0.3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3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8.25" customHeight="1" x14ac:dyDescent="0.35">
      <c r="A6" s="1"/>
      <c r="B6" s="139" t="s">
        <v>124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"/>
      <c r="T6" s="1"/>
      <c r="U6" s="1"/>
      <c r="V6" s="1"/>
      <c r="W6" s="1"/>
      <c r="X6" s="1"/>
      <c r="Y6" s="1"/>
      <c r="Z6" s="1"/>
      <c r="AA6" s="1"/>
    </row>
    <row r="7" spans="1:27" x14ac:dyDescent="0.3">
      <c r="A7" s="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5" x14ac:dyDescent="0.35">
      <c r="A8" s="1"/>
      <c r="B8" s="5" t="s">
        <v>1</v>
      </c>
      <c r="C8" s="6" t="s">
        <v>2</v>
      </c>
      <c r="D8" s="7"/>
      <c r="E8" s="7"/>
      <c r="F8" s="7"/>
      <c r="G8" s="5"/>
      <c r="H8" s="5"/>
      <c r="I8" s="5"/>
      <c r="J8" s="5"/>
      <c r="K8" s="5"/>
      <c r="L8" s="5"/>
      <c r="M8" s="5"/>
      <c r="N8" s="5"/>
      <c r="O8" s="5"/>
      <c r="P8" s="5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3">
      <c r="A9" s="1"/>
      <c r="B9" s="5"/>
      <c r="C9" s="5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3">
      <c r="A10" s="1"/>
      <c r="B10" s="5"/>
      <c r="C10" s="5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3">
      <c r="A11" s="1"/>
      <c r="B11" s="5"/>
      <c r="C11" s="5" t="s">
        <v>126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3">
      <c r="A12" s="1"/>
      <c r="B12" s="5"/>
      <c r="C12" s="5" t="s">
        <v>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3">
      <c r="A13" s="1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5" x14ac:dyDescent="0.35">
      <c r="A14" s="1"/>
      <c r="B14" s="5" t="s">
        <v>6</v>
      </c>
      <c r="C14" s="6" t="s">
        <v>7</v>
      </c>
      <c r="D14" s="6"/>
      <c r="E14" s="6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3">
      <c r="A15" s="1"/>
      <c r="B15" s="5"/>
      <c r="C15" s="5" t="s">
        <v>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3">
      <c r="A16" s="1"/>
      <c r="B16" s="5"/>
      <c r="C16" s="5" t="s">
        <v>9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3">
      <c r="A17" s="1"/>
      <c r="B17" s="1"/>
      <c r="C17" s="1" t="s">
        <v>10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</sheetData>
  <mergeCells count="1">
    <mergeCell ref="B6:R6"/>
  </mergeCells>
  <hyperlinks>
    <hyperlink ref="C8" location="'Target Savings Calculator'!A1" display="Target Savings Calculator:" xr:uid="{1EE488B0-8889-4B6C-A512-68EE59C879E2}"/>
    <hyperlink ref="C14" location="'Targets and Assumptions'!A1" display="Targets and Assumptions:" xr:uid="{EFF64CE9-E21C-454C-901F-2773119F02BF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3B86-4323-4CE6-B7AE-992AE493A5E3}">
  <dimension ref="A1:AJ102"/>
  <sheetViews>
    <sheetView zoomScale="80" zoomScaleNormal="80" workbookViewId="0">
      <selection activeCell="G22" sqref="G22"/>
    </sheetView>
  </sheetViews>
  <sheetFormatPr defaultRowHeight="14" x14ac:dyDescent="0.3"/>
  <cols>
    <col min="1" max="1" width="16.25" customWidth="1"/>
    <col min="2" max="2" width="22.75" style="32" customWidth="1"/>
    <col min="3" max="3" width="14.08203125" style="32" customWidth="1"/>
    <col min="4" max="4" width="7.58203125" style="32" customWidth="1"/>
    <col min="5" max="5" width="14.58203125" hidden="1" customWidth="1"/>
    <col min="6" max="6" width="21.25" style="32" customWidth="1"/>
    <col min="7" max="7" width="14.83203125" style="32" customWidth="1"/>
    <col min="8" max="8" width="13.33203125" style="32" hidden="1" customWidth="1"/>
    <col min="9" max="9" width="17.5" style="32" hidden="1" customWidth="1"/>
    <col min="10" max="10" width="16" style="32" customWidth="1"/>
    <col min="11" max="12" width="16" style="32" hidden="1" customWidth="1"/>
    <col min="13" max="13" width="12.58203125" customWidth="1"/>
    <col min="14" max="14" width="10.33203125" customWidth="1"/>
    <col min="15" max="15" width="11.33203125" customWidth="1"/>
    <col min="16" max="16" width="9.83203125" customWidth="1"/>
    <col min="17" max="17" width="15.83203125" style="32" customWidth="1"/>
    <col min="18" max="18" width="10" customWidth="1"/>
    <col min="19" max="19" width="13.4140625" hidden="1" customWidth="1"/>
    <col min="20" max="20" width="11.25" hidden="1" customWidth="1"/>
    <col min="21" max="21" width="11.75" customWidth="1"/>
    <col min="22" max="22" width="10.33203125" customWidth="1"/>
    <col min="23" max="23" width="11.83203125" customWidth="1"/>
    <col min="24" max="26" width="9.83203125" customWidth="1"/>
    <col min="27" max="27" width="8.58203125" customWidth="1"/>
    <col min="28" max="28" width="11.25" customWidth="1"/>
    <col min="29" max="29" width="8.58203125" customWidth="1"/>
    <col min="30" max="30" width="11.25" customWidth="1"/>
    <col min="31" max="31" width="8.58203125" customWidth="1"/>
    <col min="32" max="32" width="11.25" customWidth="1"/>
    <col min="33" max="34" width="8.58203125" customWidth="1"/>
  </cols>
  <sheetData>
    <row r="1" spans="1:36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1"/>
      <c r="AJ1" s="1"/>
    </row>
    <row r="2" spans="1:36" ht="22" x14ac:dyDescent="0.65">
      <c r="A2" s="1"/>
      <c r="B2" s="3"/>
      <c r="C2" s="3"/>
      <c r="D2" s="3"/>
      <c r="E2" s="3"/>
      <c r="F2" s="3"/>
      <c r="G2" s="3"/>
      <c r="H2" s="3"/>
      <c r="I2" s="3"/>
      <c r="J2" s="4" t="s">
        <v>11</v>
      </c>
      <c r="K2" s="4"/>
      <c r="L2" s="4"/>
      <c r="M2" s="3"/>
      <c r="N2" s="3"/>
      <c r="O2" s="3"/>
      <c r="P2" s="4"/>
      <c r="Q2" s="3"/>
      <c r="R2" s="3"/>
      <c r="S2" s="3"/>
      <c r="T2" s="3"/>
      <c r="U2" s="3"/>
      <c r="V2" s="3"/>
      <c r="W2" s="3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"/>
      <c r="AJ2" s="1"/>
    </row>
    <row r="3" spans="1:36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1"/>
      <c r="AJ3" s="1"/>
    </row>
    <row r="4" spans="1:36" ht="14.5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28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5.5" x14ac:dyDescent="0.35">
      <c r="A5" s="1"/>
      <c r="B5" s="9" t="s">
        <v>12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74" t="s">
        <v>134</v>
      </c>
      <c r="O5" s="175"/>
      <c r="P5" s="175"/>
      <c r="Q5" s="175"/>
      <c r="R5" s="175"/>
      <c r="S5" s="175"/>
      <c r="T5" s="175"/>
      <c r="U5" s="175"/>
      <c r="V5" s="175"/>
      <c r="W5" s="175"/>
      <c r="X5" s="176"/>
      <c r="Y5" s="13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5.65" customHeight="1" x14ac:dyDescent="0.35">
      <c r="A6" s="1"/>
      <c r="B6" s="9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36"/>
      <c r="O6" s="172" t="s">
        <v>136</v>
      </c>
      <c r="P6" s="172"/>
      <c r="Q6" s="172"/>
      <c r="R6" s="172"/>
      <c r="S6" s="172"/>
      <c r="T6" s="172"/>
      <c r="U6" s="172"/>
      <c r="V6" s="172"/>
      <c r="W6" s="172"/>
      <c r="X6" s="173"/>
      <c r="Y6" s="132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5.65" customHeight="1" x14ac:dyDescent="0.35">
      <c r="A7" s="1"/>
      <c r="B7" s="9" t="s">
        <v>14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26"/>
      <c r="O7" s="172" t="s">
        <v>137</v>
      </c>
      <c r="P7" s="172"/>
      <c r="Q7" s="172"/>
      <c r="R7" s="172"/>
      <c r="S7" s="172"/>
      <c r="T7" s="172"/>
      <c r="U7" s="172"/>
      <c r="V7" s="172"/>
      <c r="W7" s="172"/>
      <c r="X7" s="173"/>
      <c r="Y7" s="123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5" thickBot="1" x14ac:dyDescent="0.4">
      <c r="A8" s="1"/>
      <c r="B8" s="9" t="s">
        <v>15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27"/>
      <c r="O8" s="177" t="s">
        <v>135</v>
      </c>
      <c r="P8" s="177"/>
      <c r="Q8" s="177"/>
      <c r="R8" s="177"/>
      <c r="S8" s="177"/>
      <c r="T8" s="177"/>
      <c r="U8" s="177"/>
      <c r="V8" s="177"/>
      <c r="W8" s="177"/>
      <c r="X8" s="178"/>
      <c r="Y8" s="123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4.5" x14ac:dyDescent="0.35">
      <c r="A9" s="1"/>
      <c r="B9" s="9" t="s">
        <v>16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28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4.5" x14ac:dyDescent="0.35">
      <c r="A10" s="1"/>
      <c r="B10" s="9" t="s">
        <v>17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28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28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4.5" x14ac:dyDescent="0.35">
      <c r="A12" s="1"/>
      <c r="B12" s="10" t="s">
        <v>18</v>
      </c>
      <c r="C12" s="10" t="s">
        <v>18</v>
      </c>
      <c r="D12" s="10" t="s">
        <v>18</v>
      </c>
      <c r="E12" s="1"/>
      <c r="F12" s="10" t="s">
        <v>18</v>
      </c>
      <c r="G12" s="10" t="s">
        <v>18</v>
      </c>
      <c r="H12" s="10"/>
      <c r="I12" s="10"/>
      <c r="J12" s="10" t="s">
        <v>18</v>
      </c>
      <c r="K12" s="10" t="s">
        <v>18</v>
      </c>
      <c r="L12" s="10"/>
      <c r="M12" s="1"/>
      <c r="N12" s="1"/>
      <c r="O12" s="1"/>
      <c r="P12" s="1"/>
      <c r="Q12" s="10" t="s">
        <v>18</v>
      </c>
      <c r="R12" s="10" t="s">
        <v>18</v>
      </c>
      <c r="S12" s="10" t="s">
        <v>18</v>
      </c>
      <c r="T12" s="39"/>
      <c r="U12" s="1"/>
      <c r="V12" s="1"/>
      <c r="W12" s="1"/>
      <c r="X12" s="1"/>
      <c r="Y12" s="128"/>
      <c r="Z12" s="1"/>
      <c r="AA12" s="107" t="s">
        <v>19</v>
      </c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24.25" customHeight="1" x14ac:dyDescent="0.3">
      <c r="A13" s="1"/>
      <c r="B13" s="147" t="s">
        <v>20</v>
      </c>
      <c r="C13" s="149" t="s">
        <v>21</v>
      </c>
      <c r="D13" s="149" t="s">
        <v>22</v>
      </c>
      <c r="E13" s="154" t="s">
        <v>23</v>
      </c>
      <c r="F13" s="149" t="s">
        <v>24</v>
      </c>
      <c r="G13" s="157" t="s">
        <v>25</v>
      </c>
      <c r="H13" s="56" t="s">
        <v>26</v>
      </c>
      <c r="I13" s="56" t="s">
        <v>27</v>
      </c>
      <c r="J13" s="158" t="s">
        <v>28</v>
      </c>
      <c r="K13" s="158"/>
      <c r="L13" s="158"/>
      <c r="M13" s="158"/>
      <c r="N13" s="158"/>
      <c r="O13" s="158"/>
      <c r="P13" s="158"/>
      <c r="Q13" s="163" t="s">
        <v>148</v>
      </c>
      <c r="R13" s="163"/>
      <c r="S13" s="163"/>
      <c r="T13" s="163"/>
      <c r="U13" s="163"/>
      <c r="V13" s="163"/>
      <c r="W13" s="163"/>
      <c r="X13" s="163"/>
      <c r="Y13" s="133" t="s">
        <v>143</v>
      </c>
      <c r="Z13" s="53" t="s">
        <v>29</v>
      </c>
      <c r="AA13" s="140" t="s">
        <v>30</v>
      </c>
      <c r="AB13" s="141"/>
      <c r="AC13" s="141"/>
      <c r="AD13" s="141"/>
      <c r="AE13" s="141"/>
      <c r="AF13" s="141"/>
      <c r="AG13" s="141"/>
      <c r="AH13" s="141"/>
      <c r="AI13" s="1"/>
      <c r="AJ13" s="1"/>
    </row>
    <row r="14" spans="1:36" ht="23.25" customHeight="1" x14ac:dyDescent="0.3">
      <c r="A14" s="1"/>
      <c r="B14" s="147"/>
      <c r="C14" s="150"/>
      <c r="D14" s="150"/>
      <c r="E14" s="155"/>
      <c r="F14" s="149"/>
      <c r="G14" s="159"/>
      <c r="H14" s="86"/>
      <c r="I14" s="86"/>
      <c r="J14" s="149" t="s">
        <v>31</v>
      </c>
      <c r="K14" s="157" t="s">
        <v>146</v>
      </c>
      <c r="L14" s="164" t="s">
        <v>32</v>
      </c>
      <c r="M14" s="152" t="s">
        <v>33</v>
      </c>
      <c r="N14" s="152" t="s">
        <v>34</v>
      </c>
      <c r="O14" s="152" t="s">
        <v>35</v>
      </c>
      <c r="P14" s="152" t="s">
        <v>36</v>
      </c>
      <c r="Q14" s="149" t="s">
        <v>37</v>
      </c>
      <c r="R14" s="168" t="s">
        <v>38</v>
      </c>
      <c r="S14" s="166" t="s">
        <v>147</v>
      </c>
      <c r="T14" s="164" t="s">
        <v>39</v>
      </c>
      <c r="U14" s="161" t="s">
        <v>40</v>
      </c>
      <c r="V14" s="161" t="s">
        <v>34</v>
      </c>
      <c r="W14" s="161" t="s">
        <v>41</v>
      </c>
      <c r="X14" s="161" t="s">
        <v>36</v>
      </c>
      <c r="Y14" s="170" t="s">
        <v>144</v>
      </c>
      <c r="Z14" s="145" t="s">
        <v>42</v>
      </c>
      <c r="AA14" s="142" t="s">
        <v>43</v>
      </c>
      <c r="AB14" s="143"/>
      <c r="AC14" s="143" t="s">
        <v>148</v>
      </c>
      <c r="AD14" s="143"/>
      <c r="AE14" s="144" t="s">
        <v>44</v>
      </c>
      <c r="AF14" s="142"/>
      <c r="AG14" s="143" t="s">
        <v>45</v>
      </c>
      <c r="AH14" s="143"/>
      <c r="AI14" s="1"/>
      <c r="AJ14" s="1"/>
    </row>
    <row r="15" spans="1:36" ht="48" customHeight="1" thickBot="1" x14ac:dyDescent="0.35">
      <c r="A15" s="1"/>
      <c r="B15" s="148"/>
      <c r="C15" s="151"/>
      <c r="D15" s="151"/>
      <c r="E15" s="156"/>
      <c r="F15" s="157"/>
      <c r="G15" s="160"/>
      <c r="H15" s="56"/>
      <c r="I15" s="56"/>
      <c r="J15" s="157"/>
      <c r="K15" s="160"/>
      <c r="L15" s="165"/>
      <c r="M15" s="153"/>
      <c r="N15" s="153"/>
      <c r="O15" s="153"/>
      <c r="P15" s="153"/>
      <c r="Q15" s="157"/>
      <c r="R15" s="157"/>
      <c r="S15" s="167"/>
      <c r="T15" s="169"/>
      <c r="U15" s="162"/>
      <c r="V15" s="162"/>
      <c r="W15" s="162"/>
      <c r="X15" s="162"/>
      <c r="Y15" s="171"/>
      <c r="Z15" s="146"/>
      <c r="AA15" s="41" t="s">
        <v>46</v>
      </c>
      <c r="AB15" s="43" t="s">
        <v>47</v>
      </c>
      <c r="AC15" s="42" t="s">
        <v>46</v>
      </c>
      <c r="AD15" s="42" t="s">
        <v>47</v>
      </c>
      <c r="AE15" s="42" t="s">
        <v>46</v>
      </c>
      <c r="AF15" s="42" t="s">
        <v>47</v>
      </c>
      <c r="AG15" s="42" t="s">
        <v>46</v>
      </c>
      <c r="AH15" s="43" t="s">
        <v>48</v>
      </c>
      <c r="AI15" s="1"/>
      <c r="AJ15" s="1"/>
    </row>
    <row r="16" spans="1:36" ht="32.15" customHeight="1" thickTop="1" thickBot="1" x14ac:dyDescent="0.35">
      <c r="A16" s="1"/>
      <c r="B16" s="49" t="s">
        <v>49</v>
      </c>
      <c r="C16" s="48" t="str">
        <f>IF(AND(E16&lt;&gt;0,D16&lt;&gt;""),IF(D16="m²",CONVERT(E16,"ft^2","m^2"),E16),"")</f>
        <v/>
      </c>
      <c r="D16" s="44"/>
      <c r="E16" s="45">
        <f>SUM(Table1[Area sqft])</f>
        <v>0</v>
      </c>
      <c r="F16" s="50"/>
      <c r="G16" s="50"/>
      <c r="H16" s="87" t="e">
        <f>AVERAGE(Table1[Electricity Target])</f>
        <v>#DIV/0!</v>
      </c>
      <c r="I16" s="87" t="e">
        <f>AVERAGE(Table1[Natural Gas Target])</f>
        <v>#DIV/0!</v>
      </c>
      <c r="J16" s="104">
        <f>IF(SUM(Table1[Elec Annual Consump kWh])&lt;&gt;0, SUM(Table1[Elec Annual Consump kWh]),0)</f>
        <v>0</v>
      </c>
      <c r="K16" s="104">
        <f>IF(SUM(Table1[Chill Water Annual Consumption])&lt;&gt;0, SUM(Table1[Chill Water Annual Consumption]),0)</f>
        <v>0</v>
      </c>
      <c r="L16" s="88">
        <f>SUM(Table1[Annual Consumption kWh])</f>
        <v>0</v>
      </c>
      <c r="M16" s="105">
        <f>IF(E16&lt;&gt;0,L16/E16,0)</f>
        <v>0</v>
      </c>
      <c r="N16" s="104">
        <f>SUM(Table1[Elec Actual GHG Tonne])</f>
        <v>0</v>
      </c>
      <c r="O16" s="105">
        <f>IF(E16&lt;&gt;0,( SUMPRODUCT(Table1[Elec Target EUI],Table1[Area sqft]))/E16,0)</f>
        <v>0</v>
      </c>
      <c r="P16" s="106">
        <f>SUM(Table1[Elec Target GHG Tonne])</f>
        <v>0</v>
      </c>
      <c r="Q16" s="103">
        <f>IF(AND(T16&lt;&gt;0,R16&lt;&gt;""),IF(R16="GJ",T16*0.0373,T16),0)</f>
        <v>0</v>
      </c>
      <c r="R16" s="233"/>
      <c r="S16" s="103">
        <f>SUM(Table1[kLbs Steam])</f>
        <v>0</v>
      </c>
      <c r="T16" s="88">
        <f>SUM(Table1[NG Consump m3])</f>
        <v>0</v>
      </c>
      <c r="U16" s="90">
        <f>IF(E16&lt;&gt;0, (T16*10.395)/E16, 0)</f>
        <v>0</v>
      </c>
      <c r="V16" s="89">
        <f>SUM(Table1[NG Actual GHG Tonne])</f>
        <v>0</v>
      </c>
      <c r="W16" s="90">
        <f>IF(E16&lt;&gt;0, SUMPRODUCT(Table1[NG Target EUI],Table1[Area sqft])/E16, 0)</f>
        <v>0</v>
      </c>
      <c r="X16" s="89">
        <f>SUM(Table1[NG Target GHG Tonne])</f>
        <v>0</v>
      </c>
      <c r="Y16" s="134"/>
      <c r="Z16" s="91">
        <f>IF(E16&lt;&gt;0, ((L16*Elec.GHG)+(T16*Gas.GHG))/E16, 0)</f>
        <v>0</v>
      </c>
      <c r="AA16" s="51" t="str">
        <f>IF(M16&lt;&gt;0,(M16-O16)/M16,"")</f>
        <v/>
      </c>
      <c r="AB16" s="46" t="str">
        <f>IF(SUM(Table1[Elec $/yr Target Save])&lt;&gt;0, SUM(Table1[Elec $/yr Target Save]),"")</f>
        <v/>
      </c>
      <c r="AC16" s="51" t="str">
        <f>IF(U16&lt;&gt;0,(U16-W16)/U16,"")</f>
        <v/>
      </c>
      <c r="AD16" s="46" t="str">
        <f>IF(SUM(Table1[NG $/yr Target Save])&lt;&gt;0, SUM(Table1[NG $/yr Target Save]),"")</f>
        <v/>
      </c>
      <c r="AE16" s="51" t="str">
        <f>IF((M16+U16)&lt;&gt;0,((M16+U16)-(O16+W16))/(M16+U16),"")</f>
        <v/>
      </c>
      <c r="AF16" s="46" t="str">
        <f>IF(SUM(Table1[Tot Ener $/yr Target Save])&lt;&gt;0, SUM(Table1[Tot Ener $/yr Target Save]),"")</f>
        <v/>
      </c>
      <c r="AG16" s="51" t="str">
        <f>IF((N16+V16)&lt;&gt;0,((N16+V16)-(P16+X16))/(N16+V16),"")</f>
        <v/>
      </c>
      <c r="AH16" s="47" t="str">
        <f>IF(SUM(Table1[Emiss Tonn/yr Target Save])&lt;&gt;0, SUM(Table1[Emiss Tonn/yr Target Save]),"")</f>
        <v/>
      </c>
      <c r="AI16" s="1"/>
      <c r="AJ16" s="1"/>
    </row>
    <row r="17" spans="1:36" ht="21" hidden="1" customHeight="1" thickTop="1" x14ac:dyDescent="0.3">
      <c r="A17" s="1"/>
      <c r="B17" s="13" t="s">
        <v>50</v>
      </c>
      <c r="C17" s="14" t="s">
        <v>51</v>
      </c>
      <c r="D17" s="14" t="s">
        <v>52</v>
      </c>
      <c r="E17" s="83" t="s">
        <v>23</v>
      </c>
      <c r="F17" s="15" t="s">
        <v>24</v>
      </c>
      <c r="G17" s="15" t="s">
        <v>53</v>
      </c>
      <c r="H17" s="86" t="s">
        <v>26</v>
      </c>
      <c r="I17" s="86" t="s">
        <v>27</v>
      </c>
      <c r="J17" s="15" t="s">
        <v>54</v>
      </c>
      <c r="K17" s="15" t="s">
        <v>55</v>
      </c>
      <c r="L17" s="15" t="s">
        <v>56</v>
      </c>
      <c r="M17" s="16" t="s">
        <v>57</v>
      </c>
      <c r="N17" s="16" t="s">
        <v>58</v>
      </c>
      <c r="O17" s="16" t="s">
        <v>59</v>
      </c>
      <c r="P17" s="16" t="s">
        <v>60</v>
      </c>
      <c r="Q17" s="15" t="s">
        <v>61</v>
      </c>
      <c r="R17" s="15" t="s">
        <v>62</v>
      </c>
      <c r="S17" s="15" t="s">
        <v>63</v>
      </c>
      <c r="T17" s="15" t="s">
        <v>64</v>
      </c>
      <c r="U17" s="17" t="s">
        <v>65</v>
      </c>
      <c r="V17" s="17" t="s">
        <v>66</v>
      </c>
      <c r="W17" s="17" t="s">
        <v>67</v>
      </c>
      <c r="X17" s="17" t="s">
        <v>68</v>
      </c>
      <c r="Y17" s="52" t="s">
        <v>142</v>
      </c>
      <c r="Z17" s="52" t="s">
        <v>69</v>
      </c>
      <c r="AA17" s="18" t="s">
        <v>70</v>
      </c>
      <c r="AB17" s="19" t="s">
        <v>71</v>
      </c>
      <c r="AC17" s="19" t="s">
        <v>72</v>
      </c>
      <c r="AD17" s="19" t="s">
        <v>73</v>
      </c>
      <c r="AE17" s="19" t="s">
        <v>74</v>
      </c>
      <c r="AF17" s="19" t="s">
        <v>75</v>
      </c>
      <c r="AG17" s="19" t="s">
        <v>76</v>
      </c>
      <c r="AH17" s="20" t="s">
        <v>77</v>
      </c>
      <c r="AI17" s="1"/>
      <c r="AJ17" s="1"/>
    </row>
    <row r="18" spans="1:36" ht="13.9" customHeight="1" thickTop="1" x14ac:dyDescent="0.3">
      <c r="A18" s="1"/>
      <c r="B18" s="25"/>
      <c r="C18" s="26"/>
      <c r="D18" s="27"/>
      <c r="E18" s="84" t="str">
        <f t="shared" ref="E18:E31" si="0">IF(AND(ISNUMBER(C18),D18&lt;&gt;""),IF(D18="m²",CONVERT(C18,"m^2","ft^2"),C18),"")</f>
        <v/>
      </c>
      <c r="F18" s="35"/>
      <c r="G18" s="35"/>
      <c r="H18" s="82" t="str">
        <f>IF(Table1[[#This Row],[Target Type]]&lt;&gt;"",VLOOKUP(F18,'Targets and Assumptions'!$B$11:$G$21,IF(Table1[[#This Row],[Target Type]]="Top Quartile",3,5),FALSE),"")</f>
        <v/>
      </c>
      <c r="I18" s="82" t="str">
        <f>IF(Table1[[#This Row],[Target Type]]&lt;&gt;"",VLOOKUP(F18,'Targets and Assumptions'!$B$11:$G$21,IF(Table1[[#This Row],[Target Type]]="Top Quartile",4,6),FALSE),"")</f>
        <v/>
      </c>
      <c r="J18" s="28"/>
      <c r="K18" s="28"/>
      <c r="L18" s="85">
        <f>(Table1[[#This Row],[Elec Annual Consump kWh]]+(Table1[[#This Row],[Chill Water Annual Consumption]]*CHW.Elec.Convert))</f>
        <v>0</v>
      </c>
      <c r="M18" s="97">
        <f t="shared" ref="M18:M28" si="1">IF(AND(ISNUMBER(C18),L18&lt;&gt;0),L18/E18,0)</f>
        <v>0</v>
      </c>
      <c r="N18" s="98">
        <f t="shared" ref="N18:N28" si="2">IF(AND(ISNUMBER(C18),L18&lt;&gt;0),(M18*E18*Elec.GHG)/1000,0)</f>
        <v>0</v>
      </c>
      <c r="O18" s="97">
        <f>IF(AND(ISNUMBER(C18),L18&lt;&gt;0),IF(Table1[[#This Row],[Electricity Target]]&gt;M18,M18,Table1[[#This Row],[Electricity Target]]),0)</f>
        <v>0</v>
      </c>
      <c r="P18" s="98">
        <f t="shared" ref="P18:P31" si="3">IF(AND(ISNUMBER(C18),L18&lt;&gt;0),(O18*E18*Elec.GHG)/1000,0)</f>
        <v>0</v>
      </c>
      <c r="Q18" s="29"/>
      <c r="R18" s="30"/>
      <c r="S18" s="96"/>
      <c r="T18" s="40">
        <f>IF(Table1[[#This Row],[NG input Unit]]&lt;&gt;"",IF(Table1[[#This Row],[NG input Unit]]="GJ",Table1[[#This Row],[UU NG Consump]]*26.853,Table1[[#This Row],[UU NG Consump]]),0)+(Table1[[#This Row],[kLbs Steam]]*Stm.Gas.Convert)</f>
        <v>0</v>
      </c>
      <c r="U18" s="99">
        <f>IF(AND(ISNUMBER(Table1[[#This Row],[UU Area]]),Table1[[#This Row],[NG Consump m3]]&lt;&gt;0),(Table1[[#This Row],[NG Consump m3]]*10.395)/Table1[[#This Row],[Area sqft]],0)</f>
        <v>0</v>
      </c>
      <c r="V18" s="100">
        <f>IF(AND(ISNUMBER(Table1[[#This Row],[UU Area]]),Table1[[#This Row],[NG Consump m3]]&lt;&gt;0),(((Table1[[#This Row],[NG Actual EUI]]*Table1[[#This Row],[Area sqft]]*Gas.GHG)/10.395)/1000),0)</f>
        <v>0</v>
      </c>
      <c r="W18" s="101">
        <f>IF(AND(Table1[[#This Row],[Natural Gas Target]]&lt;&gt;0,Table1[[#This Row],[NG Consump m3]]&lt;&gt;0),IF(Table1[[#This Row],[Natural Gas Target]]&gt;Table1[[#This Row],[NG Actual EUI]],Table1[[#This Row],[NG Actual EUI]],Table1[[#This Row],[Natural Gas Target]]),0)</f>
        <v>0</v>
      </c>
      <c r="X18" s="100">
        <f>IF(AND(ISNUMBER(Table1[[#This Row],[UU Area]]),Table1[[#This Row],[NG Consump m3]]&lt;&gt;0),((Table1[[#This Row],[NG Target EUI]]*Table1[[#This Row],[Area sqft]]*Gas.GHG)/10.395)/1000,0)</f>
        <v>0</v>
      </c>
      <c r="Y18" s="135">
        <f>Table1[[#This Row],[Elec Actual EUI]]+Table1[[#This Row],[NG Actual EUI]]</f>
        <v>0</v>
      </c>
      <c r="Z18" s="102">
        <f>IF(AND(Table1[[#This Row],[Area sqft]]&lt;&gt;0,Table1[[#This Row],[Area sqft]]&lt;&gt;""),((Table1[[#This Row],[NG Consump m3]]*Gas.GHG)+(Table1[[#This Row],[Annual Consumption kWh]]*Elec.GHG))/Table1[[#This Row],[Area sqft]],0)</f>
        <v>0</v>
      </c>
      <c r="AA18" s="22" t="str">
        <f>IF(Table1[[#This Row],[Elec Actual EUI]]&lt;&gt;0,(Table1[[#This Row],[Elec Actual EUI]]-Table1[[#This Row],[Elec Target EUI]])/Table1[[#This Row],[Elec Actual EUI]],"")</f>
        <v/>
      </c>
      <c r="AB18" s="21" t="str">
        <f>IF(AND(ISNUMBER(Table1[[#This Row],[Area sqft]]),Table1[[#This Row],[Annual Consumption kWh]]&lt;&gt;0),(Table1[[#This Row],[Elec Actual EUI]]-Table1[[#This Row],[Elec Target EUI]])*Table1[[#This Row],[Area sqft]]*Elec.Cost,"")</f>
        <v/>
      </c>
      <c r="AC18" s="23" t="str">
        <f>IF(Table1[[#This Row],[NG Actual EUI]]&lt;&gt;0,(Table1[[#This Row],[NG Actual EUI]]-Table1[[#This Row],[NG Target EUI]])/Table1[[#This Row],[NG Actual EUI]],"")</f>
        <v/>
      </c>
      <c r="AD18" s="21" t="str">
        <f>IF(AND(ISNUMBER(Table1[[#This Row],[Area sqft]]),Table1[[#This Row],[NG Consump m3]]&lt;&gt;0),((Table1[[#This Row],[NG Actual EUI]]-Table1[[#This Row],[NG Target EUI]])/10.395)*Table1[[#This Row],[Area sqft]]*Gas.Cost,"")</f>
        <v/>
      </c>
      <c r="AE18" s="23" t="str">
        <f>IF((Table1[[#This Row],[Elec Actual EUI]]+Table1[[#This Row],[NG Actual EUI]])&lt;&gt;0,((Table1[[#This Row],[Elec Actual EUI]]+Table1[[#This Row],[NG Actual EUI]])-(Table1[[#This Row],[Elec Target EUI]]+Table1[[#This Row],[NG Target EUI]]))/(Table1[[#This Row],[Elec Actual EUI]]+Table1[[#This Row],[NG Actual EUI]]),"")</f>
        <v/>
      </c>
      <c r="AF18" s="21" t="str">
        <f>IF(AND(Table1[[#This Row],[Annual Consumption kWh]]&lt;&gt;0,Table1[[#This Row],[NG Consump m3]]&lt;&gt;0),Table1[[#This Row],[Elec $/yr Target Save]]+Table1[[#This Row],[NG $/yr Target Save]],"")</f>
        <v/>
      </c>
      <c r="AG18" s="23" t="str">
        <f>IF((Table1[[#This Row],[Elec Actual GHG Tonne]]+Table1[[#This Row],[NG Actual GHG Tonne]])&lt;&gt;0,((Table1[[#This Row],[Elec Actual GHG Tonne]]+Table1[[#This Row],[NG Actual GHG Tonne]])-(Table1[[#This Row],[Elec Target GHG Tonne]]+Table1[[#This Row],[NG Target GHG Tonne]]))/(Table1[[#This Row],[Elec Actual GHG Tonne]]+Table1[[#This Row],[NG Actual GHG Tonne]]),"")</f>
        <v/>
      </c>
      <c r="AH18" s="24" t="str">
        <f>IF((Table1[[#This Row],[Annual Consumption kWh]]+Table1[[#This Row],[NG Consump m3]])&lt;&gt;0,( (Table1[[#This Row],[Elec Actual GHG Tonne]]+Table1[[#This Row],[NG Actual GHG Tonne]])-(Table1[[#This Row],[Elec Target GHG Tonne]]+Table1[[#This Row],[NG Target GHG Tonne]]) ),"")</f>
        <v/>
      </c>
      <c r="AI18" s="8"/>
      <c r="AJ18" s="1"/>
    </row>
    <row r="19" spans="1:36" ht="13.9" customHeight="1" x14ac:dyDescent="0.3">
      <c r="A19" s="1"/>
      <c r="B19" s="25"/>
      <c r="C19" s="26"/>
      <c r="D19" s="27"/>
      <c r="E19" s="84" t="str">
        <f t="shared" si="0"/>
        <v/>
      </c>
      <c r="F19" s="35"/>
      <c r="G19" s="35"/>
      <c r="H19" s="82" t="str">
        <f>IF(Table1[[#This Row],[Target Type]]&lt;&gt;"",VLOOKUP(F19,'Targets and Assumptions'!$B$11:$G$21,IF(Table1[[#This Row],[Target Type]]="Top Quartile",3,5),FALSE),"")</f>
        <v/>
      </c>
      <c r="I19" s="82" t="str">
        <f>IF(Table1[[#This Row],[Target Type]]&lt;&gt;"",VLOOKUP(F19,'Targets and Assumptions'!$B$11:$G$21,IF(Table1[[#This Row],[Target Type]]="Top Quartile",4,6),FALSE),"")</f>
        <v/>
      </c>
      <c r="J19" s="28"/>
      <c r="K19" s="28"/>
      <c r="L19" s="85">
        <f>(Table1[[#This Row],[Elec Annual Consump kWh]]+(Table1[[#This Row],[Chill Water Annual Consumption]]*CHW.Elec.Convert))</f>
        <v>0</v>
      </c>
      <c r="M19" s="97">
        <f t="shared" si="1"/>
        <v>0</v>
      </c>
      <c r="N19" s="98">
        <f t="shared" si="2"/>
        <v>0</v>
      </c>
      <c r="O19" s="97">
        <f>IF(AND(ISNUMBER(C19),L19&lt;&gt;0),IF(Table1[[#This Row],[Electricity Target]]&gt;M19,M19,Table1[[#This Row],[Electricity Target]]),0)</f>
        <v>0</v>
      </c>
      <c r="P19" s="98">
        <f t="shared" si="3"/>
        <v>0</v>
      </c>
      <c r="Q19" s="29"/>
      <c r="R19" s="30"/>
      <c r="S19" s="96"/>
      <c r="T19" s="40">
        <f>IF(Table1[[#This Row],[NG input Unit]]&lt;&gt;"",IF(Table1[[#This Row],[NG input Unit]]="GJ",Table1[[#This Row],[UU NG Consump]]*26.853,Table1[[#This Row],[UU NG Consump]]),0)+(Table1[[#This Row],[kLbs Steam]]*Stm.Gas.Convert)</f>
        <v>0</v>
      </c>
      <c r="U19" s="99">
        <f>IF(AND(ISNUMBER(Table1[[#This Row],[UU Area]]),Table1[[#This Row],[NG Consump m3]]&lt;&gt;0),(Table1[[#This Row],[NG Consump m3]]*10.395)/Table1[[#This Row],[Area sqft]],0)</f>
        <v>0</v>
      </c>
      <c r="V19" s="100">
        <f>IF(AND(ISNUMBER(Table1[[#This Row],[UU Area]]),Table1[[#This Row],[NG Consump m3]]&lt;&gt;0),(((Table1[[#This Row],[NG Actual EUI]]*Table1[[#This Row],[Area sqft]]*Gas.GHG)/10.395)/1000),0)</f>
        <v>0</v>
      </c>
      <c r="W19" s="101">
        <f>IF(AND(Table1[[#This Row],[Natural Gas Target]]&lt;&gt;0,Table1[[#This Row],[NG Consump m3]]&lt;&gt;0),IF(Table1[[#This Row],[Natural Gas Target]]&gt;Table1[[#This Row],[NG Actual EUI]],Table1[[#This Row],[NG Actual EUI]],Table1[[#This Row],[Natural Gas Target]]),0)</f>
        <v>0</v>
      </c>
      <c r="X19" s="100">
        <f>IF(AND(ISNUMBER(Table1[[#This Row],[UU Area]]),Table1[[#This Row],[NG Consump m3]]&lt;&gt;0),((Table1[[#This Row],[NG Target EUI]]*Table1[[#This Row],[Area sqft]]*Gas.GHG)/10.395)/1000,0)</f>
        <v>0</v>
      </c>
      <c r="Y19" s="135">
        <f>Table1[[#This Row],[Elec Actual EUI]]+Table1[[#This Row],[NG Actual EUI]]</f>
        <v>0</v>
      </c>
      <c r="Z19" s="102">
        <f>IF(AND(Table1[[#This Row],[Area sqft]]&lt;&gt;0,Table1[[#This Row],[Area sqft]]&lt;&gt;""),((Table1[[#This Row],[NG Consump m3]]*Gas.GHG)+(Table1[[#This Row],[Annual Consumption kWh]]*Elec.GHG))/Table1[[#This Row],[Area sqft]],0)</f>
        <v>0</v>
      </c>
      <c r="AA19" s="22" t="str">
        <f>IF(Table1[[#This Row],[Elec Actual EUI]]&lt;&gt;0,(Table1[[#This Row],[Elec Actual EUI]]-Table1[[#This Row],[Elec Target EUI]])/Table1[[#This Row],[Elec Actual EUI]],"")</f>
        <v/>
      </c>
      <c r="AB19" s="21" t="str">
        <f>IF(AND(ISNUMBER(Table1[[#This Row],[Area sqft]]),Table1[[#This Row],[Annual Consumption kWh]]&lt;&gt;0),(Table1[[#This Row],[Elec Actual EUI]]-Table1[[#This Row],[Elec Target EUI]])*Table1[[#This Row],[Area sqft]]*Elec.Cost,"")</f>
        <v/>
      </c>
      <c r="AC19" s="23" t="str">
        <f>IF(Table1[[#This Row],[NG Actual EUI]]&lt;&gt;0,(Table1[[#This Row],[NG Actual EUI]]-Table1[[#This Row],[NG Target EUI]])/Table1[[#This Row],[NG Actual EUI]],"")</f>
        <v/>
      </c>
      <c r="AD19" s="21" t="str">
        <f>IF(AND(ISNUMBER(Table1[[#This Row],[Area sqft]]),Table1[[#This Row],[NG Consump m3]]&lt;&gt;0),((Table1[[#This Row],[NG Actual EUI]]-Table1[[#This Row],[NG Target EUI]])/10.395)*Table1[[#This Row],[Area sqft]]*Gas.Cost,"")</f>
        <v/>
      </c>
      <c r="AE19" s="23" t="str">
        <f>IF((Table1[[#This Row],[Elec Actual EUI]]+Table1[[#This Row],[NG Actual EUI]])&lt;&gt;0,((Table1[[#This Row],[Elec Actual EUI]]+Table1[[#This Row],[NG Actual EUI]])-(Table1[[#This Row],[Elec Target EUI]]+Table1[[#This Row],[NG Target EUI]]))/(Table1[[#This Row],[Elec Actual EUI]]+Table1[[#This Row],[NG Actual EUI]]),"")</f>
        <v/>
      </c>
      <c r="AF19" s="21" t="str">
        <f>IF(AND(Table1[[#This Row],[Annual Consumption kWh]]&lt;&gt;0,Table1[[#This Row],[NG Consump m3]]&lt;&gt;0),Table1[[#This Row],[Elec $/yr Target Save]]+Table1[[#This Row],[NG $/yr Target Save]],"")</f>
        <v/>
      </c>
      <c r="AG19" s="23" t="str">
        <f>IF((Table1[[#This Row],[Elec Actual GHG Tonne]]+Table1[[#This Row],[NG Actual GHG Tonne]])&lt;&gt;0,((Table1[[#This Row],[Elec Actual GHG Tonne]]+Table1[[#This Row],[NG Actual GHG Tonne]])-(Table1[[#This Row],[Elec Target GHG Tonne]]+Table1[[#This Row],[NG Target GHG Tonne]]))/(Table1[[#This Row],[Elec Actual GHG Tonne]]+Table1[[#This Row],[NG Actual GHG Tonne]]),"")</f>
        <v/>
      </c>
      <c r="AH19" s="24" t="str">
        <f>IF((Table1[[#This Row],[Annual Consumption kWh]]+Table1[[#This Row],[NG Consump m3]])&lt;&gt;0,( (Table1[[#This Row],[Elec Actual GHG Tonne]]+Table1[[#This Row],[NG Actual GHG Tonne]])-(Table1[[#This Row],[Elec Target GHG Tonne]]+Table1[[#This Row],[NG Target GHG Tonne]]) ),"")</f>
        <v/>
      </c>
      <c r="AI19" s="230"/>
      <c r="AJ19" s="1"/>
    </row>
    <row r="20" spans="1:36" ht="13.9" customHeight="1" x14ac:dyDescent="0.3">
      <c r="A20" s="138"/>
      <c r="B20" s="25"/>
      <c r="C20" s="26"/>
      <c r="D20" s="27"/>
      <c r="E20" s="84" t="str">
        <f t="shared" si="0"/>
        <v/>
      </c>
      <c r="F20" s="35"/>
      <c r="G20" s="35"/>
      <c r="H20" s="82" t="str">
        <f>IF(Table1[[#This Row],[Target Type]]&lt;&gt;"",VLOOKUP(F20,'Targets and Assumptions'!$B$11:$G$21,IF(Table1[[#This Row],[Target Type]]="Top Quartile",3,5),FALSE),"")</f>
        <v/>
      </c>
      <c r="I20" s="82" t="str">
        <f>IF(Table1[[#This Row],[Target Type]]&lt;&gt;"",VLOOKUP(F20,'Targets and Assumptions'!$B$11:$G$21,IF(Table1[[#This Row],[Target Type]]="Top Quartile",4,6),FALSE),"")</f>
        <v/>
      </c>
      <c r="J20" s="28"/>
      <c r="K20" s="28"/>
      <c r="L20" s="85">
        <f>(Table1[[#This Row],[Elec Annual Consump kWh]]+(Table1[[#This Row],[Chill Water Annual Consumption]]*CHW.Elec.Convert))</f>
        <v>0</v>
      </c>
      <c r="M20" s="220">
        <f t="shared" ref="M20:M24" si="4">IF(AND(ISNUMBER(C20),L20&lt;&gt;0),L20/E20,0)</f>
        <v>0</v>
      </c>
      <c r="N20" s="221">
        <f>IF(AND(ISNUMBER(C20),L20&lt;&gt;0),(M20*E20*Elec.GHG)/1000,0)</f>
        <v>0</v>
      </c>
      <c r="O20" s="220">
        <f>IF(AND(ISNUMBER(C20),L20&lt;&gt;0),IF(Table1[[#This Row],[Electricity Target]]&gt;M20,M20,Table1[[#This Row],[Electricity Target]]),0)</f>
        <v>0</v>
      </c>
      <c r="P20" s="98">
        <f t="shared" si="3"/>
        <v>0</v>
      </c>
      <c r="Q20" s="29"/>
      <c r="R20" s="30"/>
      <c r="S20" s="96"/>
      <c r="T20" s="40">
        <f>IF(Table1[[#This Row],[NG input Unit]]&lt;&gt;"",IF(Table1[[#This Row],[NG input Unit]]="GJ",Table1[[#This Row],[UU NG Consump]]*26.853,Table1[[#This Row],[UU NG Consump]]),0)+(Table1[[#This Row],[kLbs Steam]]*Stm.Gas.Convert)</f>
        <v>0</v>
      </c>
      <c r="U20" s="99">
        <f>IF(AND(ISNUMBER(Table1[[#This Row],[UU Area]]),Table1[[#This Row],[NG Consump m3]]&lt;&gt;0),(Table1[[#This Row],[NG Consump m3]]*10.395)/Table1[[#This Row],[Area sqft]],0)</f>
        <v>0</v>
      </c>
      <c r="V20" s="100">
        <f>IF(AND(ISNUMBER(Table1[[#This Row],[UU Area]]),Table1[[#This Row],[NG Consump m3]]&lt;&gt;0),(((Table1[[#This Row],[NG Actual EUI]]*Table1[[#This Row],[Area sqft]]*Gas.GHG)/10.395)/1000),0)</f>
        <v>0</v>
      </c>
      <c r="W20" s="101">
        <f>IF(AND(Table1[[#This Row],[Natural Gas Target]]&lt;&gt;0,Table1[[#This Row],[NG Consump m3]]&lt;&gt;0),IF(Table1[[#This Row],[Natural Gas Target]]&gt;Table1[[#This Row],[NG Actual EUI]],Table1[[#This Row],[NG Actual EUI]],Table1[[#This Row],[Natural Gas Target]]),0)</f>
        <v>0</v>
      </c>
      <c r="X20" s="100">
        <f>IF(AND(ISNUMBER(Table1[[#This Row],[UU Area]]),Table1[[#This Row],[NG Consump m3]]&lt;&gt;0),((Table1[[#This Row],[NG Target EUI]]*Table1[[#This Row],[Area sqft]]*Gas.GHG)/10.395)/1000,0)</f>
        <v>0</v>
      </c>
      <c r="Y20" s="135">
        <f>Table1[[#This Row],[Elec Actual EUI]]+Table1[[#This Row],[NG Actual EUI]]</f>
        <v>0</v>
      </c>
      <c r="Z20" s="222">
        <f>IF(AND(Table1[[#This Row],[Area sqft]]&lt;&gt;0,Table1[[#This Row],[Area sqft]]&lt;&gt;""),((Table1[[#This Row],[NG Consump m3]]*Gas.GHG)+(Table1[[#This Row],[Annual Consumption kWh]]*Elec.GHG))/Table1[[#This Row],[Area sqft]],0)</f>
        <v>0</v>
      </c>
      <c r="AA20" s="22" t="str">
        <f>IF(Table1[[#This Row],[Elec Actual EUI]]&lt;&gt;0,(Table1[[#This Row],[Elec Actual EUI]]-Table1[[#This Row],[Elec Target EUI]])/Table1[[#This Row],[Elec Actual EUI]],"")</f>
        <v/>
      </c>
      <c r="AB20" s="21" t="str">
        <f>IF(AND(ISNUMBER(Table1[[#This Row],[Area sqft]]),Table1[[#This Row],[Annual Consumption kWh]]&lt;&gt;0),(Table1[[#This Row],[Elec Actual EUI]]-Table1[[#This Row],[Elec Target EUI]])*Table1[[#This Row],[Area sqft]]*Elec.Cost,"")</f>
        <v/>
      </c>
      <c r="AC20" s="23" t="str">
        <f>IF(Table1[[#This Row],[NG Actual EUI]]&lt;&gt;0,(Table1[[#This Row],[NG Actual EUI]]-Table1[[#This Row],[NG Target EUI]])/Table1[[#This Row],[NG Actual EUI]],"")</f>
        <v/>
      </c>
      <c r="AD20" s="21" t="str">
        <f>IF(AND(ISNUMBER(Table1[[#This Row],[Area sqft]]),Table1[[#This Row],[NG Consump m3]]&lt;&gt;0),((Table1[[#This Row],[NG Actual EUI]]-Table1[[#This Row],[NG Target EUI]])/10.395)*Table1[[#This Row],[Area sqft]]*Gas.Cost,"")</f>
        <v/>
      </c>
      <c r="AE20" s="23" t="str">
        <f>IF((Table1[[#This Row],[Elec Actual EUI]]+Table1[[#This Row],[NG Actual EUI]])&lt;&gt;0,((Table1[[#This Row],[Elec Actual EUI]]+Table1[[#This Row],[NG Actual EUI]])-(Table1[[#This Row],[Elec Target EUI]]+Table1[[#This Row],[NG Target EUI]]))/(Table1[[#This Row],[Elec Actual EUI]]+Table1[[#This Row],[NG Actual EUI]]),"")</f>
        <v/>
      </c>
      <c r="AF20" s="21" t="str">
        <f>IF(AND(Table1[[#This Row],[Annual Consumption kWh]]&lt;&gt;0,Table1[[#This Row],[NG Consump m3]]&lt;&gt;0),Table1[[#This Row],[Elec $/yr Target Save]]+Table1[[#This Row],[NG $/yr Target Save]],"")</f>
        <v/>
      </c>
      <c r="AG20" s="23" t="str">
        <f>IF((Table1[[#This Row],[Elec Actual GHG Tonne]]+Table1[[#This Row],[NG Actual GHG Tonne]])&lt;&gt;0,((Table1[[#This Row],[Elec Actual GHG Tonne]]+Table1[[#This Row],[NG Actual GHG Tonne]])-(Table1[[#This Row],[Elec Target GHG Tonne]]+Table1[[#This Row],[NG Target GHG Tonne]]))/(Table1[[#This Row],[Elec Actual GHG Tonne]]+Table1[[#This Row],[NG Actual GHG Tonne]]),"")</f>
        <v/>
      </c>
      <c r="AH20" s="24" t="str">
        <f>IF((Table1[[#This Row],[Annual Consumption kWh]]+Table1[[#This Row],[NG Consump m3]])&lt;&gt;0,( (Table1[[#This Row],[Elec Actual GHG Tonne]]+Table1[[#This Row],[NG Actual GHG Tonne]])-(Table1[[#This Row],[Elec Target GHG Tonne]]+Table1[[#This Row],[NG Target GHG Tonne]]) ),"")</f>
        <v/>
      </c>
      <c r="AI20" s="230"/>
      <c r="AJ20" s="138"/>
    </row>
    <row r="21" spans="1:36" ht="13.9" customHeight="1" x14ac:dyDescent="0.3">
      <c r="A21" s="138"/>
      <c r="B21" s="25"/>
      <c r="C21" s="26"/>
      <c r="D21" s="27"/>
      <c r="E21" s="84" t="str">
        <f t="shared" si="0"/>
        <v/>
      </c>
      <c r="F21" s="35"/>
      <c r="G21" s="35"/>
      <c r="H21" s="82" t="str">
        <f>IF(Table1[[#This Row],[Target Type]]&lt;&gt;"",VLOOKUP(F21,'Targets and Assumptions'!$B$11:$G$21,IF(Table1[[#This Row],[Target Type]]="Top Quartile",3,5),FALSE),"")</f>
        <v/>
      </c>
      <c r="I21" s="82" t="str">
        <f>IF(Table1[[#This Row],[Target Type]]&lt;&gt;"",VLOOKUP(F21,'Targets and Assumptions'!$B$11:$G$21,IF(Table1[[#This Row],[Target Type]]="Top Quartile",4,6),FALSE),"")</f>
        <v/>
      </c>
      <c r="J21" s="28"/>
      <c r="K21" s="28"/>
      <c r="L21" s="85">
        <f>(Table1[[#This Row],[Elec Annual Consump kWh]]+(Table1[[#This Row],[Chill Water Annual Consumption]]*CHW.Elec.Convert))</f>
        <v>0</v>
      </c>
      <c r="M21" s="220">
        <f t="shared" si="4"/>
        <v>0</v>
      </c>
      <c r="N21" s="221">
        <f>IF(AND(ISNUMBER(C21),L21&lt;&gt;0),(M21*E21*Elec.GHG)/1000,0)</f>
        <v>0</v>
      </c>
      <c r="O21" s="220">
        <f>IF(AND(ISNUMBER(C21),L21&lt;&gt;0),IF(Table1[[#This Row],[Electricity Target]]&gt;M21,M21,Table1[[#This Row],[Electricity Target]]),0)</f>
        <v>0</v>
      </c>
      <c r="P21" s="98">
        <f t="shared" si="3"/>
        <v>0</v>
      </c>
      <c r="Q21" s="29"/>
      <c r="R21" s="30"/>
      <c r="S21" s="96"/>
      <c r="T21" s="40">
        <f>IF(Table1[[#This Row],[NG input Unit]]&lt;&gt;"",IF(Table1[[#This Row],[NG input Unit]]="GJ",Table1[[#This Row],[UU NG Consump]]*26.853,Table1[[#This Row],[UU NG Consump]]),0)+(Table1[[#This Row],[kLbs Steam]]*Stm.Gas.Convert)</f>
        <v>0</v>
      </c>
      <c r="U21" s="99">
        <f>IF(AND(ISNUMBER(Table1[[#This Row],[UU Area]]),Table1[[#This Row],[NG Consump m3]]&lt;&gt;0),(Table1[[#This Row],[NG Consump m3]]*10.395)/Table1[[#This Row],[Area sqft]],0)</f>
        <v>0</v>
      </c>
      <c r="V21" s="100">
        <f>IF(AND(ISNUMBER(Table1[[#This Row],[UU Area]]),Table1[[#This Row],[NG Consump m3]]&lt;&gt;0),(((Table1[[#This Row],[NG Actual EUI]]*Table1[[#This Row],[Area sqft]]*Gas.GHG)/10.395)/1000),0)</f>
        <v>0</v>
      </c>
      <c r="W21" s="101">
        <f>IF(AND(Table1[[#This Row],[Natural Gas Target]]&lt;&gt;0,Table1[[#This Row],[NG Consump m3]]&lt;&gt;0),IF(Table1[[#This Row],[Natural Gas Target]]&gt;Table1[[#This Row],[NG Actual EUI]],Table1[[#This Row],[NG Actual EUI]],Table1[[#This Row],[Natural Gas Target]]),0)</f>
        <v>0</v>
      </c>
      <c r="X21" s="100">
        <f>IF(AND(ISNUMBER(Table1[[#This Row],[UU Area]]),Table1[[#This Row],[NG Consump m3]]&lt;&gt;0),((Table1[[#This Row],[NG Target EUI]]*Table1[[#This Row],[Area sqft]]*Gas.GHG)/10.395)/1000,0)</f>
        <v>0</v>
      </c>
      <c r="Y21" s="135">
        <f>Table1[[#This Row],[Elec Actual EUI]]+Table1[[#This Row],[NG Actual EUI]]</f>
        <v>0</v>
      </c>
      <c r="Z21" s="222">
        <f>IF(AND(Table1[[#This Row],[Area sqft]]&lt;&gt;0,Table1[[#This Row],[Area sqft]]&lt;&gt;""),((Table1[[#This Row],[NG Consump m3]]*Gas.GHG)+(Table1[[#This Row],[Annual Consumption kWh]]*Elec.GHG))/Table1[[#This Row],[Area sqft]],0)</f>
        <v>0</v>
      </c>
      <c r="AA21" s="22" t="str">
        <f>IF(Table1[[#This Row],[Elec Actual EUI]]&lt;&gt;0,(Table1[[#This Row],[Elec Actual EUI]]-Table1[[#This Row],[Elec Target EUI]])/Table1[[#This Row],[Elec Actual EUI]],"")</f>
        <v/>
      </c>
      <c r="AB21" s="21" t="str">
        <f>IF(AND(ISNUMBER(Table1[[#This Row],[Area sqft]]),Table1[[#This Row],[Annual Consumption kWh]]&lt;&gt;0),(Table1[[#This Row],[Elec Actual EUI]]-Table1[[#This Row],[Elec Target EUI]])*Table1[[#This Row],[Area sqft]]*Elec.Cost,"")</f>
        <v/>
      </c>
      <c r="AC21" s="23" t="str">
        <f>IF(Table1[[#This Row],[NG Actual EUI]]&lt;&gt;0,(Table1[[#This Row],[NG Actual EUI]]-Table1[[#This Row],[NG Target EUI]])/Table1[[#This Row],[NG Actual EUI]],"")</f>
        <v/>
      </c>
      <c r="AD21" s="21" t="str">
        <f>IF(AND(ISNUMBER(Table1[[#This Row],[Area sqft]]),Table1[[#This Row],[NG Consump m3]]&lt;&gt;0),((Table1[[#This Row],[NG Actual EUI]]-Table1[[#This Row],[NG Target EUI]])/10.395)*Table1[[#This Row],[Area sqft]]*Gas.Cost,"")</f>
        <v/>
      </c>
      <c r="AE21" s="23" t="str">
        <f>IF((Table1[[#This Row],[Elec Actual EUI]]+Table1[[#This Row],[NG Actual EUI]])&lt;&gt;0,((Table1[[#This Row],[Elec Actual EUI]]+Table1[[#This Row],[NG Actual EUI]])-(Table1[[#This Row],[Elec Target EUI]]+Table1[[#This Row],[NG Target EUI]]))/(Table1[[#This Row],[Elec Actual EUI]]+Table1[[#This Row],[NG Actual EUI]]),"")</f>
        <v/>
      </c>
      <c r="AF21" s="21" t="str">
        <f>IF(AND(Table1[[#This Row],[Annual Consumption kWh]]&lt;&gt;0,Table1[[#This Row],[NG Consump m3]]&lt;&gt;0),Table1[[#This Row],[Elec $/yr Target Save]]+Table1[[#This Row],[NG $/yr Target Save]],"")</f>
        <v/>
      </c>
      <c r="AG21" s="23" t="str">
        <f>IF((Table1[[#This Row],[Elec Actual GHG Tonne]]+Table1[[#This Row],[NG Actual GHG Tonne]])&lt;&gt;0,((Table1[[#This Row],[Elec Actual GHG Tonne]]+Table1[[#This Row],[NG Actual GHG Tonne]])-(Table1[[#This Row],[Elec Target GHG Tonne]]+Table1[[#This Row],[NG Target GHG Tonne]]))/(Table1[[#This Row],[Elec Actual GHG Tonne]]+Table1[[#This Row],[NG Actual GHG Tonne]]),"")</f>
        <v/>
      </c>
      <c r="AH21" s="24" t="str">
        <f>IF((Table1[[#This Row],[Annual Consumption kWh]]+Table1[[#This Row],[NG Consump m3]])&lt;&gt;0,( (Table1[[#This Row],[Elec Actual GHG Tonne]]+Table1[[#This Row],[NG Actual GHG Tonne]])-(Table1[[#This Row],[Elec Target GHG Tonne]]+Table1[[#This Row],[NG Target GHG Tonne]]) ),"")</f>
        <v/>
      </c>
      <c r="AI21" s="231"/>
      <c r="AJ21" s="138"/>
    </row>
    <row r="22" spans="1:36" ht="13.9" customHeight="1" x14ac:dyDescent="0.3">
      <c r="A22" s="138"/>
      <c r="B22" s="25"/>
      <c r="C22" s="26"/>
      <c r="D22" s="27"/>
      <c r="E22" s="84" t="str">
        <f t="shared" si="0"/>
        <v/>
      </c>
      <c r="F22" s="35"/>
      <c r="G22" s="35"/>
      <c r="H22" s="82" t="str">
        <f>IF(Table1[[#This Row],[Target Type]]&lt;&gt;"",VLOOKUP(F22,'Targets and Assumptions'!$B$11:$G$21,IF(Table1[[#This Row],[Target Type]]="Top Quartile",3,5),FALSE),"")</f>
        <v/>
      </c>
      <c r="I22" s="82" t="str">
        <f>IF(Table1[[#This Row],[Target Type]]&lt;&gt;"",VLOOKUP(F22,'Targets and Assumptions'!$B$11:$G$21,IF(Table1[[#This Row],[Target Type]]="Top Quartile",4,6),FALSE),"")</f>
        <v/>
      </c>
      <c r="J22" s="28"/>
      <c r="K22" s="28"/>
      <c r="L22" s="85">
        <f>(Table1[[#This Row],[Elec Annual Consump kWh]]+(Table1[[#This Row],[Chill Water Annual Consumption]]*CHW.Elec.Convert))</f>
        <v>0</v>
      </c>
      <c r="M22" s="220">
        <f t="shared" si="4"/>
        <v>0</v>
      </c>
      <c r="N22" s="221">
        <f>IF(AND(ISNUMBER(C22),L22&lt;&gt;0),(M22*E22*Elec.GHG)/1000,0)</f>
        <v>0</v>
      </c>
      <c r="O22" s="220">
        <f>IF(AND(ISNUMBER(C22),L22&lt;&gt;0),IF(Table1[[#This Row],[Electricity Target]]&gt;M22,M22,Table1[[#This Row],[Electricity Target]]),0)</f>
        <v>0</v>
      </c>
      <c r="P22" s="98">
        <f t="shared" si="3"/>
        <v>0</v>
      </c>
      <c r="Q22" s="29"/>
      <c r="R22" s="30"/>
      <c r="S22" s="96"/>
      <c r="T22" s="40">
        <f>IF(Table1[[#This Row],[NG input Unit]]&lt;&gt;"",IF(Table1[[#This Row],[NG input Unit]]="GJ",Table1[[#This Row],[UU NG Consump]]*26.853,Table1[[#This Row],[UU NG Consump]]),0)+(Table1[[#This Row],[kLbs Steam]]*Stm.Gas.Convert)</f>
        <v>0</v>
      </c>
      <c r="U22" s="99">
        <f>IF(AND(ISNUMBER(Table1[[#This Row],[UU Area]]),Table1[[#This Row],[NG Consump m3]]&lt;&gt;0),(Table1[[#This Row],[NG Consump m3]]*10.395)/Table1[[#This Row],[Area sqft]],0)</f>
        <v>0</v>
      </c>
      <c r="V22" s="100">
        <f>IF(AND(ISNUMBER(Table1[[#This Row],[UU Area]]),Table1[[#This Row],[NG Consump m3]]&lt;&gt;0),(((Table1[[#This Row],[NG Actual EUI]]*Table1[[#This Row],[Area sqft]]*Gas.GHG)/10.395)/1000),0)</f>
        <v>0</v>
      </c>
      <c r="W22" s="101">
        <f>IF(AND(Table1[[#This Row],[Natural Gas Target]]&lt;&gt;0,Table1[[#This Row],[NG Consump m3]]&lt;&gt;0),IF(Table1[[#This Row],[Natural Gas Target]]&gt;Table1[[#This Row],[NG Actual EUI]],Table1[[#This Row],[NG Actual EUI]],Table1[[#This Row],[Natural Gas Target]]),0)</f>
        <v>0</v>
      </c>
      <c r="X22" s="100">
        <f>IF(AND(ISNUMBER(Table1[[#This Row],[UU Area]]),Table1[[#This Row],[NG Consump m3]]&lt;&gt;0),((Table1[[#This Row],[NG Target EUI]]*Table1[[#This Row],[Area sqft]]*Gas.GHG)/10.395)/1000,0)</f>
        <v>0</v>
      </c>
      <c r="Y22" s="135">
        <f>Table1[[#This Row],[Elec Actual EUI]]+Table1[[#This Row],[NG Actual EUI]]</f>
        <v>0</v>
      </c>
      <c r="Z22" s="222">
        <f>IF(AND(Table1[[#This Row],[Area sqft]]&lt;&gt;0,Table1[[#This Row],[Area sqft]]&lt;&gt;""),((Table1[[#This Row],[NG Consump m3]]*Gas.GHG)+(Table1[[#This Row],[Annual Consumption kWh]]*Elec.GHG))/Table1[[#This Row],[Area sqft]],0)</f>
        <v>0</v>
      </c>
      <c r="AA22" s="22" t="str">
        <f>IF(Table1[[#This Row],[Elec Actual EUI]]&lt;&gt;0,(Table1[[#This Row],[Elec Actual EUI]]-Table1[[#This Row],[Elec Target EUI]])/Table1[[#This Row],[Elec Actual EUI]],"")</f>
        <v/>
      </c>
      <c r="AB22" s="21" t="str">
        <f>IF(AND(ISNUMBER(Table1[[#This Row],[Area sqft]]),Table1[[#This Row],[Annual Consumption kWh]]&lt;&gt;0),(Table1[[#This Row],[Elec Actual EUI]]-Table1[[#This Row],[Elec Target EUI]])*Table1[[#This Row],[Area sqft]]*Elec.Cost,"")</f>
        <v/>
      </c>
      <c r="AC22" s="23" t="str">
        <f>IF(Table1[[#This Row],[NG Actual EUI]]&lt;&gt;0,(Table1[[#This Row],[NG Actual EUI]]-Table1[[#This Row],[NG Target EUI]])/Table1[[#This Row],[NG Actual EUI]],"")</f>
        <v/>
      </c>
      <c r="AD22" s="21" t="str">
        <f>IF(AND(ISNUMBER(Table1[[#This Row],[Area sqft]]),Table1[[#This Row],[NG Consump m3]]&lt;&gt;0),((Table1[[#This Row],[NG Actual EUI]]-Table1[[#This Row],[NG Target EUI]])/10.395)*Table1[[#This Row],[Area sqft]]*Gas.Cost,"")</f>
        <v/>
      </c>
      <c r="AE22" s="23" t="str">
        <f>IF((Table1[[#This Row],[Elec Actual EUI]]+Table1[[#This Row],[NG Actual EUI]])&lt;&gt;0,((Table1[[#This Row],[Elec Actual EUI]]+Table1[[#This Row],[NG Actual EUI]])-(Table1[[#This Row],[Elec Target EUI]]+Table1[[#This Row],[NG Target EUI]]))/(Table1[[#This Row],[Elec Actual EUI]]+Table1[[#This Row],[NG Actual EUI]]),"")</f>
        <v/>
      </c>
      <c r="AF22" s="21" t="str">
        <f>IF(AND(Table1[[#This Row],[Annual Consumption kWh]]&lt;&gt;0,Table1[[#This Row],[NG Consump m3]]&lt;&gt;0),Table1[[#This Row],[Elec $/yr Target Save]]+Table1[[#This Row],[NG $/yr Target Save]],"")</f>
        <v/>
      </c>
      <c r="AG22" s="23" t="str">
        <f>IF((Table1[[#This Row],[Elec Actual GHG Tonne]]+Table1[[#This Row],[NG Actual GHG Tonne]])&lt;&gt;0,((Table1[[#This Row],[Elec Actual GHG Tonne]]+Table1[[#This Row],[NG Actual GHG Tonne]])-(Table1[[#This Row],[Elec Target GHG Tonne]]+Table1[[#This Row],[NG Target GHG Tonne]]))/(Table1[[#This Row],[Elec Actual GHG Tonne]]+Table1[[#This Row],[NG Actual GHG Tonne]]),"")</f>
        <v/>
      </c>
      <c r="AH22" s="24" t="str">
        <f>IF((Table1[[#This Row],[Annual Consumption kWh]]+Table1[[#This Row],[NG Consump m3]])&lt;&gt;0,( (Table1[[#This Row],[Elec Actual GHG Tonne]]+Table1[[#This Row],[NG Actual GHG Tonne]])-(Table1[[#This Row],[Elec Target GHG Tonne]]+Table1[[#This Row],[NG Target GHG Tonne]]) ),"")</f>
        <v/>
      </c>
      <c r="AI22" s="231"/>
      <c r="AJ22" s="138"/>
    </row>
    <row r="23" spans="1:36" ht="13.9" customHeight="1" x14ac:dyDescent="0.3">
      <c r="A23" s="138"/>
      <c r="B23" s="25"/>
      <c r="C23" s="26"/>
      <c r="D23" s="27"/>
      <c r="E23" s="84" t="str">
        <f t="shared" si="0"/>
        <v/>
      </c>
      <c r="F23" s="35"/>
      <c r="G23" s="35"/>
      <c r="H23" s="82" t="str">
        <f>IF(Table1[[#This Row],[Target Type]]&lt;&gt;"",VLOOKUP(F23,'Targets and Assumptions'!$B$11:$G$21,IF(Table1[[#This Row],[Target Type]]="Top Quartile",3,5),FALSE),"")</f>
        <v/>
      </c>
      <c r="I23" s="82" t="str">
        <f>IF(Table1[[#This Row],[Target Type]]&lt;&gt;"",VLOOKUP(F23,'Targets and Assumptions'!$B$11:$G$21,IF(Table1[[#This Row],[Target Type]]="Top Quartile",4,6),FALSE),"")</f>
        <v/>
      </c>
      <c r="J23" s="28"/>
      <c r="K23" s="28"/>
      <c r="L23" s="85">
        <f>(Table1[[#This Row],[Elec Annual Consump kWh]]+(Table1[[#This Row],[Chill Water Annual Consumption]]*CHW.Elec.Convert))</f>
        <v>0</v>
      </c>
      <c r="M23" s="220">
        <f t="shared" si="4"/>
        <v>0</v>
      </c>
      <c r="N23" s="221">
        <f>IF(AND(ISNUMBER(C23),L23&lt;&gt;0),(M23*E23*Elec.GHG)/1000,0)</f>
        <v>0</v>
      </c>
      <c r="O23" s="220">
        <f>IF(AND(ISNUMBER(C23),L23&lt;&gt;0),IF(Table1[[#This Row],[Electricity Target]]&gt;M23,M23,Table1[[#This Row],[Electricity Target]]),0)</f>
        <v>0</v>
      </c>
      <c r="P23" s="98">
        <f t="shared" si="3"/>
        <v>0</v>
      </c>
      <c r="Q23" s="29"/>
      <c r="R23" s="30"/>
      <c r="S23" s="96"/>
      <c r="T23" s="40">
        <f>IF(Table1[[#This Row],[NG input Unit]]&lt;&gt;"",IF(Table1[[#This Row],[NG input Unit]]="GJ",Table1[[#This Row],[UU NG Consump]]*26.853,Table1[[#This Row],[UU NG Consump]]),0)+(Table1[[#This Row],[kLbs Steam]]*Stm.Gas.Convert)</f>
        <v>0</v>
      </c>
      <c r="U23" s="99">
        <f>IF(AND(ISNUMBER(Table1[[#This Row],[UU Area]]),Table1[[#This Row],[NG Consump m3]]&lt;&gt;0),(Table1[[#This Row],[NG Consump m3]]*10.395)/Table1[[#This Row],[Area sqft]],0)</f>
        <v>0</v>
      </c>
      <c r="V23" s="100">
        <f>IF(AND(ISNUMBER(Table1[[#This Row],[UU Area]]),Table1[[#This Row],[NG Consump m3]]&lt;&gt;0),(((Table1[[#This Row],[NG Actual EUI]]*Table1[[#This Row],[Area sqft]]*Gas.GHG)/10.395)/1000),0)</f>
        <v>0</v>
      </c>
      <c r="W23" s="101">
        <f>IF(AND(Table1[[#This Row],[Natural Gas Target]]&lt;&gt;0,Table1[[#This Row],[NG Consump m3]]&lt;&gt;0),IF(Table1[[#This Row],[Natural Gas Target]]&gt;Table1[[#This Row],[NG Actual EUI]],Table1[[#This Row],[NG Actual EUI]],Table1[[#This Row],[Natural Gas Target]]),0)</f>
        <v>0</v>
      </c>
      <c r="X23" s="100">
        <f>IF(AND(ISNUMBER(Table1[[#This Row],[UU Area]]),Table1[[#This Row],[NG Consump m3]]&lt;&gt;0),((Table1[[#This Row],[NG Target EUI]]*Table1[[#This Row],[Area sqft]]*Gas.GHG)/10.395)/1000,0)</f>
        <v>0</v>
      </c>
      <c r="Y23" s="135">
        <f>Table1[[#This Row],[Elec Actual EUI]]+Table1[[#This Row],[NG Actual EUI]]</f>
        <v>0</v>
      </c>
      <c r="Z23" s="222">
        <f>IF(AND(Table1[[#This Row],[Area sqft]]&lt;&gt;0,Table1[[#This Row],[Area sqft]]&lt;&gt;""),((Table1[[#This Row],[NG Consump m3]]*Gas.GHG)+(Table1[[#This Row],[Annual Consumption kWh]]*Elec.GHG))/Table1[[#This Row],[Area sqft]],0)</f>
        <v>0</v>
      </c>
      <c r="AA23" s="22" t="str">
        <f>IF(Table1[[#This Row],[Elec Actual EUI]]&lt;&gt;0,(Table1[[#This Row],[Elec Actual EUI]]-Table1[[#This Row],[Elec Target EUI]])/Table1[[#This Row],[Elec Actual EUI]],"")</f>
        <v/>
      </c>
      <c r="AB23" s="21" t="str">
        <f>IF(AND(ISNUMBER(Table1[[#This Row],[Area sqft]]),Table1[[#This Row],[Annual Consumption kWh]]&lt;&gt;0),(Table1[[#This Row],[Elec Actual EUI]]-Table1[[#This Row],[Elec Target EUI]])*Table1[[#This Row],[Area sqft]]*Elec.Cost,"")</f>
        <v/>
      </c>
      <c r="AC23" s="23" t="str">
        <f>IF(Table1[[#This Row],[NG Actual EUI]]&lt;&gt;0,(Table1[[#This Row],[NG Actual EUI]]-Table1[[#This Row],[NG Target EUI]])/Table1[[#This Row],[NG Actual EUI]],"")</f>
        <v/>
      </c>
      <c r="AD23" s="21" t="str">
        <f>IF(AND(ISNUMBER(Table1[[#This Row],[Area sqft]]),Table1[[#This Row],[NG Consump m3]]&lt;&gt;0),((Table1[[#This Row],[NG Actual EUI]]-Table1[[#This Row],[NG Target EUI]])/10.395)*Table1[[#This Row],[Area sqft]]*Gas.Cost,"")</f>
        <v/>
      </c>
      <c r="AE23" s="23" t="str">
        <f>IF((Table1[[#This Row],[Elec Actual EUI]]+Table1[[#This Row],[NG Actual EUI]])&lt;&gt;0,((Table1[[#This Row],[Elec Actual EUI]]+Table1[[#This Row],[NG Actual EUI]])-(Table1[[#This Row],[Elec Target EUI]]+Table1[[#This Row],[NG Target EUI]]))/(Table1[[#This Row],[Elec Actual EUI]]+Table1[[#This Row],[NG Actual EUI]]),"")</f>
        <v/>
      </c>
      <c r="AF23" s="21" t="str">
        <f>IF(AND(Table1[[#This Row],[Annual Consumption kWh]]&lt;&gt;0,Table1[[#This Row],[NG Consump m3]]&lt;&gt;0),Table1[[#This Row],[Elec $/yr Target Save]]+Table1[[#This Row],[NG $/yr Target Save]],"")</f>
        <v/>
      </c>
      <c r="AG23" s="23" t="str">
        <f>IF((Table1[[#This Row],[Elec Actual GHG Tonne]]+Table1[[#This Row],[NG Actual GHG Tonne]])&lt;&gt;0,((Table1[[#This Row],[Elec Actual GHG Tonne]]+Table1[[#This Row],[NG Actual GHG Tonne]])-(Table1[[#This Row],[Elec Target GHG Tonne]]+Table1[[#This Row],[NG Target GHG Tonne]]))/(Table1[[#This Row],[Elec Actual GHG Tonne]]+Table1[[#This Row],[NG Actual GHG Tonne]]),"")</f>
        <v/>
      </c>
      <c r="AH23" s="24" t="str">
        <f>IF((Table1[[#This Row],[Annual Consumption kWh]]+Table1[[#This Row],[NG Consump m3]])&lt;&gt;0,( (Table1[[#This Row],[Elec Actual GHG Tonne]]+Table1[[#This Row],[NG Actual GHG Tonne]])-(Table1[[#This Row],[Elec Target GHG Tonne]]+Table1[[#This Row],[NG Target GHG Tonne]]) ),"")</f>
        <v/>
      </c>
      <c r="AI23" s="231"/>
      <c r="AJ23" s="138"/>
    </row>
    <row r="24" spans="1:36" ht="13.9" customHeight="1" x14ac:dyDescent="0.3">
      <c r="A24" s="138"/>
      <c r="B24" s="25"/>
      <c r="C24" s="26"/>
      <c r="D24" s="27"/>
      <c r="E24" s="84" t="str">
        <f t="shared" si="0"/>
        <v/>
      </c>
      <c r="F24" s="35"/>
      <c r="G24" s="35"/>
      <c r="H24" s="82" t="str">
        <f>IF(Table1[[#This Row],[Target Type]]&lt;&gt;"",VLOOKUP(F24,'Targets and Assumptions'!$B$11:$G$21,IF(Table1[[#This Row],[Target Type]]="Top Quartile",3,5),FALSE),"")</f>
        <v/>
      </c>
      <c r="I24" s="82" t="str">
        <f>IF(Table1[[#This Row],[Target Type]]&lt;&gt;"",VLOOKUP(F24,'Targets and Assumptions'!$B$11:$G$21,IF(Table1[[#This Row],[Target Type]]="Top Quartile",4,6),FALSE),"")</f>
        <v/>
      </c>
      <c r="J24" s="28"/>
      <c r="K24" s="28"/>
      <c r="L24" s="85">
        <f>(Table1[[#This Row],[Elec Annual Consump kWh]]+(Table1[[#This Row],[Chill Water Annual Consumption]]*CHW.Elec.Convert))</f>
        <v>0</v>
      </c>
      <c r="M24" s="220">
        <f t="shared" si="4"/>
        <v>0</v>
      </c>
      <c r="N24" s="221">
        <f>IF(AND(ISNUMBER(C24),L24&lt;&gt;0),(M24*E24*Elec.GHG)/1000,0)</f>
        <v>0</v>
      </c>
      <c r="O24" s="220">
        <f>IF(AND(ISNUMBER(C24),L24&lt;&gt;0),IF(Table1[[#This Row],[Electricity Target]]&gt;M24,M24,Table1[[#This Row],[Electricity Target]]),0)</f>
        <v>0</v>
      </c>
      <c r="P24" s="98">
        <f t="shared" si="3"/>
        <v>0</v>
      </c>
      <c r="Q24" s="29"/>
      <c r="R24" s="30"/>
      <c r="S24" s="96"/>
      <c r="T24" s="40">
        <f>IF(Table1[[#This Row],[NG input Unit]]&lt;&gt;"",IF(Table1[[#This Row],[NG input Unit]]="GJ",Table1[[#This Row],[UU NG Consump]]*26.853,Table1[[#This Row],[UU NG Consump]]),0)+(Table1[[#This Row],[kLbs Steam]]*Stm.Gas.Convert)</f>
        <v>0</v>
      </c>
      <c r="U24" s="99">
        <f>IF(AND(ISNUMBER(Table1[[#This Row],[UU Area]]),Table1[[#This Row],[NG Consump m3]]&lt;&gt;0),(Table1[[#This Row],[NG Consump m3]]*10.395)/Table1[[#This Row],[Area sqft]],0)</f>
        <v>0</v>
      </c>
      <c r="V24" s="100">
        <f>IF(AND(ISNUMBER(Table1[[#This Row],[UU Area]]),Table1[[#This Row],[NG Consump m3]]&lt;&gt;0),(((Table1[[#This Row],[NG Actual EUI]]*Table1[[#This Row],[Area sqft]]*Gas.GHG)/10.395)/1000),0)</f>
        <v>0</v>
      </c>
      <c r="W24" s="101">
        <f>IF(AND(Table1[[#This Row],[Natural Gas Target]]&lt;&gt;0,Table1[[#This Row],[NG Consump m3]]&lt;&gt;0),IF(Table1[[#This Row],[Natural Gas Target]]&gt;Table1[[#This Row],[NG Actual EUI]],Table1[[#This Row],[NG Actual EUI]],Table1[[#This Row],[Natural Gas Target]]),0)</f>
        <v>0</v>
      </c>
      <c r="X24" s="100">
        <f>IF(AND(ISNUMBER(Table1[[#This Row],[UU Area]]),Table1[[#This Row],[NG Consump m3]]&lt;&gt;0),((Table1[[#This Row],[NG Target EUI]]*Table1[[#This Row],[Area sqft]]*Gas.GHG)/10.395)/1000,0)</f>
        <v>0</v>
      </c>
      <c r="Y24" s="135">
        <f>Table1[[#This Row],[Elec Actual EUI]]+Table1[[#This Row],[NG Actual EUI]]</f>
        <v>0</v>
      </c>
      <c r="Z24" s="222">
        <f>IF(AND(Table1[[#This Row],[Area sqft]]&lt;&gt;0,Table1[[#This Row],[Area sqft]]&lt;&gt;""),((Table1[[#This Row],[NG Consump m3]]*Gas.GHG)+(Table1[[#This Row],[Annual Consumption kWh]]*Elec.GHG))/Table1[[#This Row],[Area sqft]],0)</f>
        <v>0</v>
      </c>
      <c r="AA24" s="22" t="str">
        <f>IF(Table1[[#This Row],[Elec Actual EUI]]&lt;&gt;0,(Table1[[#This Row],[Elec Actual EUI]]-Table1[[#This Row],[Elec Target EUI]])/Table1[[#This Row],[Elec Actual EUI]],"")</f>
        <v/>
      </c>
      <c r="AB24" s="21" t="str">
        <f>IF(AND(ISNUMBER(Table1[[#This Row],[Area sqft]]),Table1[[#This Row],[Annual Consumption kWh]]&lt;&gt;0),(Table1[[#This Row],[Elec Actual EUI]]-Table1[[#This Row],[Elec Target EUI]])*Table1[[#This Row],[Area sqft]]*Elec.Cost,"")</f>
        <v/>
      </c>
      <c r="AC24" s="23" t="str">
        <f>IF(Table1[[#This Row],[NG Actual EUI]]&lt;&gt;0,(Table1[[#This Row],[NG Actual EUI]]-Table1[[#This Row],[NG Target EUI]])/Table1[[#This Row],[NG Actual EUI]],"")</f>
        <v/>
      </c>
      <c r="AD24" s="21" t="str">
        <f>IF(AND(ISNUMBER(Table1[[#This Row],[Area sqft]]),Table1[[#This Row],[NG Consump m3]]&lt;&gt;0),((Table1[[#This Row],[NG Actual EUI]]-Table1[[#This Row],[NG Target EUI]])/10.395)*Table1[[#This Row],[Area sqft]]*Gas.Cost,"")</f>
        <v/>
      </c>
      <c r="AE24" s="23" t="str">
        <f>IF((Table1[[#This Row],[Elec Actual EUI]]+Table1[[#This Row],[NG Actual EUI]])&lt;&gt;0,((Table1[[#This Row],[Elec Actual EUI]]+Table1[[#This Row],[NG Actual EUI]])-(Table1[[#This Row],[Elec Target EUI]]+Table1[[#This Row],[NG Target EUI]]))/(Table1[[#This Row],[Elec Actual EUI]]+Table1[[#This Row],[NG Actual EUI]]),"")</f>
        <v/>
      </c>
      <c r="AF24" s="21" t="str">
        <f>IF(AND(Table1[[#This Row],[Annual Consumption kWh]]&lt;&gt;0,Table1[[#This Row],[NG Consump m3]]&lt;&gt;0),Table1[[#This Row],[Elec $/yr Target Save]]+Table1[[#This Row],[NG $/yr Target Save]],"")</f>
        <v/>
      </c>
      <c r="AG24" s="23" t="str">
        <f>IF((Table1[[#This Row],[Elec Actual GHG Tonne]]+Table1[[#This Row],[NG Actual GHG Tonne]])&lt;&gt;0,((Table1[[#This Row],[Elec Actual GHG Tonne]]+Table1[[#This Row],[NG Actual GHG Tonne]])-(Table1[[#This Row],[Elec Target GHG Tonne]]+Table1[[#This Row],[NG Target GHG Tonne]]))/(Table1[[#This Row],[Elec Actual GHG Tonne]]+Table1[[#This Row],[NG Actual GHG Tonne]]),"")</f>
        <v/>
      </c>
      <c r="AH24" s="24" t="str">
        <f>IF((Table1[[#This Row],[Annual Consumption kWh]]+Table1[[#This Row],[NG Consump m3]])&lt;&gt;0,( (Table1[[#This Row],[Elec Actual GHG Tonne]]+Table1[[#This Row],[NG Actual GHG Tonne]])-(Table1[[#This Row],[Elec Target GHG Tonne]]+Table1[[#This Row],[NG Target GHG Tonne]]) ),"")</f>
        <v/>
      </c>
      <c r="AI24" s="232"/>
      <c r="AJ24" s="138"/>
    </row>
    <row r="25" spans="1:36" ht="13.9" customHeight="1" x14ac:dyDescent="0.3">
      <c r="A25" s="1"/>
      <c r="B25" s="25"/>
      <c r="C25" s="26"/>
      <c r="D25" s="27"/>
      <c r="E25" s="84" t="str">
        <f t="shared" si="0"/>
        <v/>
      </c>
      <c r="F25" s="35"/>
      <c r="G25" s="35"/>
      <c r="H25" s="82" t="str">
        <f>IF(Table1[[#This Row],[Target Type]]&lt;&gt;"",VLOOKUP(F25,'Targets and Assumptions'!$B$11:$G$21,IF(Table1[[#This Row],[Target Type]]="Top Quartile",3,5),FALSE),"")</f>
        <v/>
      </c>
      <c r="I25" s="82" t="str">
        <f>IF(Table1[[#This Row],[Target Type]]&lt;&gt;"",VLOOKUP(F25,'Targets and Assumptions'!$B$11:$G$21,IF(Table1[[#This Row],[Target Type]]="Top Quartile",4,6),FALSE),"")</f>
        <v/>
      </c>
      <c r="J25" s="28"/>
      <c r="K25" s="28"/>
      <c r="L25" s="85">
        <f>(Table1[[#This Row],[Elec Annual Consump kWh]]+(Table1[[#This Row],[Chill Water Annual Consumption]]*CHW.Elec.Convert))</f>
        <v>0</v>
      </c>
      <c r="M25" s="97">
        <f t="shared" si="1"/>
        <v>0</v>
      </c>
      <c r="N25" s="98">
        <f t="shared" si="2"/>
        <v>0</v>
      </c>
      <c r="O25" s="97">
        <f>IF(AND(ISNUMBER(C25),L25&lt;&gt;0),IF(Table1[[#This Row],[Electricity Target]]&gt;M25,M25,Table1[[#This Row],[Electricity Target]]),0)</f>
        <v>0</v>
      </c>
      <c r="P25" s="98">
        <f t="shared" si="3"/>
        <v>0</v>
      </c>
      <c r="Q25" s="29"/>
      <c r="R25" s="30"/>
      <c r="S25" s="96"/>
      <c r="T25" s="40">
        <f>IF(Table1[[#This Row],[NG input Unit]]&lt;&gt;"",IF(Table1[[#This Row],[NG input Unit]]="GJ",Table1[[#This Row],[UU NG Consump]]*26.853,Table1[[#This Row],[UU NG Consump]]),0)+(Table1[[#This Row],[kLbs Steam]]*Stm.Gas.Convert)</f>
        <v>0</v>
      </c>
      <c r="U25" s="99">
        <f>IF(AND(ISNUMBER(Table1[[#This Row],[UU Area]]),Table1[[#This Row],[NG Consump m3]]&lt;&gt;0),(Table1[[#This Row],[NG Consump m3]]*10.395)/Table1[[#This Row],[Area sqft]],0)</f>
        <v>0</v>
      </c>
      <c r="V25" s="100">
        <f>IF(AND(ISNUMBER(Table1[[#This Row],[UU Area]]),Table1[[#This Row],[NG Consump m3]]&lt;&gt;0),(((Table1[[#This Row],[NG Actual EUI]]*Table1[[#This Row],[Area sqft]]*Gas.GHG)/10.395)/1000),0)</f>
        <v>0</v>
      </c>
      <c r="W25" s="101">
        <f>IF(AND(Table1[[#This Row],[Natural Gas Target]]&lt;&gt;0,Table1[[#This Row],[NG Consump m3]]&lt;&gt;0),IF(Table1[[#This Row],[Natural Gas Target]]&gt;Table1[[#This Row],[NG Actual EUI]],Table1[[#This Row],[NG Actual EUI]],Table1[[#This Row],[Natural Gas Target]]),0)</f>
        <v>0</v>
      </c>
      <c r="X25" s="100">
        <f>IF(AND(ISNUMBER(Table1[[#This Row],[UU Area]]),Table1[[#This Row],[NG Consump m3]]&lt;&gt;0),((Table1[[#This Row],[NG Target EUI]]*Table1[[#This Row],[Area sqft]]*Gas.GHG)/10.395)/1000,0)</f>
        <v>0</v>
      </c>
      <c r="Y25" s="135">
        <f>Table1[[#This Row],[Elec Actual EUI]]+Table1[[#This Row],[NG Actual EUI]]</f>
        <v>0</v>
      </c>
      <c r="Z25" s="102">
        <f>IF(AND(Table1[[#This Row],[Area sqft]]&lt;&gt;0,Table1[[#This Row],[Area sqft]]&lt;&gt;""),((Table1[[#This Row],[NG Consump m3]]*Gas.GHG)+(Table1[[#This Row],[Annual Consumption kWh]]*Elec.GHG))/Table1[[#This Row],[Area sqft]],0)</f>
        <v>0</v>
      </c>
      <c r="AA25" s="22" t="str">
        <f>IF(Table1[[#This Row],[Elec Actual EUI]]&lt;&gt;0,(Table1[[#This Row],[Elec Actual EUI]]-Table1[[#This Row],[Elec Target EUI]])/Table1[[#This Row],[Elec Actual EUI]],"")</f>
        <v/>
      </c>
      <c r="AB25" s="21" t="str">
        <f>IF(AND(ISNUMBER(Table1[[#This Row],[Area sqft]]),Table1[[#This Row],[Annual Consumption kWh]]&lt;&gt;0),(Table1[[#This Row],[Elec Actual EUI]]-Table1[[#This Row],[Elec Target EUI]])*Table1[[#This Row],[Area sqft]]*Elec.Cost,"")</f>
        <v/>
      </c>
      <c r="AC25" s="23" t="str">
        <f>IF(Table1[[#This Row],[NG Actual EUI]]&lt;&gt;0,(Table1[[#This Row],[NG Actual EUI]]-Table1[[#This Row],[NG Target EUI]])/Table1[[#This Row],[NG Actual EUI]],"")</f>
        <v/>
      </c>
      <c r="AD25" s="21" t="str">
        <f>IF(AND(ISNUMBER(Table1[[#This Row],[Area sqft]]),Table1[[#This Row],[NG Consump m3]]&lt;&gt;0),((Table1[[#This Row],[NG Actual EUI]]-Table1[[#This Row],[NG Target EUI]])/10.395)*Table1[[#This Row],[Area sqft]]*Gas.Cost,"")</f>
        <v/>
      </c>
      <c r="AE25" s="23" t="str">
        <f>IF((Table1[[#This Row],[Elec Actual EUI]]+Table1[[#This Row],[NG Actual EUI]])&lt;&gt;0,((Table1[[#This Row],[Elec Actual EUI]]+Table1[[#This Row],[NG Actual EUI]])-(Table1[[#This Row],[Elec Target EUI]]+Table1[[#This Row],[NG Target EUI]]))/(Table1[[#This Row],[Elec Actual EUI]]+Table1[[#This Row],[NG Actual EUI]]),"")</f>
        <v/>
      </c>
      <c r="AF25" s="21" t="str">
        <f>IF(AND(Table1[[#This Row],[Annual Consumption kWh]]&lt;&gt;0,Table1[[#This Row],[NG Consump m3]]&lt;&gt;0),Table1[[#This Row],[Elec $/yr Target Save]]+Table1[[#This Row],[NG $/yr Target Save]],"")</f>
        <v/>
      </c>
      <c r="AG25" s="23" t="str">
        <f>IF((Table1[[#This Row],[Elec Actual GHG Tonne]]+Table1[[#This Row],[NG Actual GHG Tonne]])&lt;&gt;0,((Table1[[#This Row],[Elec Actual GHG Tonne]]+Table1[[#This Row],[NG Actual GHG Tonne]])-(Table1[[#This Row],[Elec Target GHG Tonne]]+Table1[[#This Row],[NG Target GHG Tonne]]))/(Table1[[#This Row],[Elec Actual GHG Tonne]]+Table1[[#This Row],[NG Actual GHG Tonne]]),"")</f>
        <v/>
      </c>
      <c r="AH25" s="24" t="str">
        <f>IF((Table1[[#This Row],[Annual Consumption kWh]]+Table1[[#This Row],[NG Consump m3]])&lt;&gt;0,( (Table1[[#This Row],[Elec Actual GHG Tonne]]+Table1[[#This Row],[NG Actual GHG Tonne]])-(Table1[[#This Row],[Elec Target GHG Tonne]]+Table1[[#This Row],[NG Target GHG Tonne]]) ),"")</f>
        <v/>
      </c>
      <c r="AI25" s="1"/>
      <c r="AJ25" s="1"/>
    </row>
    <row r="26" spans="1:36" ht="13.9" customHeight="1" x14ac:dyDescent="0.3">
      <c r="A26" s="1"/>
      <c r="B26" s="25"/>
      <c r="C26" s="26"/>
      <c r="D26" s="27"/>
      <c r="E26" s="84" t="str">
        <f t="shared" si="0"/>
        <v/>
      </c>
      <c r="F26" s="35"/>
      <c r="G26" s="35"/>
      <c r="H26" s="82" t="str">
        <f>IF(Table1[[#This Row],[Target Type]]&lt;&gt;"",VLOOKUP(F26,'Targets and Assumptions'!$B$11:$G$21,IF(Table1[[#This Row],[Target Type]]="Top Quartile",3,5),FALSE),"")</f>
        <v/>
      </c>
      <c r="I26" s="82" t="str">
        <f>IF(Table1[[#This Row],[Target Type]]&lt;&gt;"",VLOOKUP(F26,'Targets and Assumptions'!$B$11:$G$21,IF(Table1[[#This Row],[Target Type]]="Top Quartile",4,6),FALSE),"")</f>
        <v/>
      </c>
      <c r="J26" s="28"/>
      <c r="K26" s="28"/>
      <c r="L26" s="85">
        <f>(Table1[[#This Row],[Elec Annual Consump kWh]]+(Table1[[#This Row],[Chill Water Annual Consumption]]*CHW.Elec.Convert))</f>
        <v>0</v>
      </c>
      <c r="M26" s="97">
        <f t="shared" si="1"/>
        <v>0</v>
      </c>
      <c r="N26" s="98">
        <f t="shared" si="2"/>
        <v>0</v>
      </c>
      <c r="O26" s="97">
        <f>IF(AND(ISNUMBER(C26),L26&lt;&gt;0),IF(Table1[[#This Row],[Electricity Target]]&gt;M26,M26,Table1[[#This Row],[Electricity Target]]),0)</f>
        <v>0</v>
      </c>
      <c r="P26" s="98">
        <f t="shared" si="3"/>
        <v>0</v>
      </c>
      <c r="Q26" s="29"/>
      <c r="R26" s="30"/>
      <c r="S26" s="96"/>
      <c r="T26" s="40">
        <f>IF(Table1[[#This Row],[NG input Unit]]&lt;&gt;"",IF(Table1[[#This Row],[NG input Unit]]="GJ",Table1[[#This Row],[UU NG Consump]]*26.853,Table1[[#This Row],[UU NG Consump]]),0)+(Table1[[#This Row],[kLbs Steam]]*Stm.Gas.Convert)</f>
        <v>0</v>
      </c>
      <c r="U26" s="99">
        <f>IF(AND(ISNUMBER(Table1[[#This Row],[UU Area]]),Table1[[#This Row],[NG Consump m3]]&lt;&gt;0),(Table1[[#This Row],[NG Consump m3]]*10.395)/Table1[[#This Row],[Area sqft]],0)</f>
        <v>0</v>
      </c>
      <c r="V26" s="100">
        <f>IF(AND(ISNUMBER(Table1[[#This Row],[UU Area]]),Table1[[#This Row],[NG Consump m3]]&lt;&gt;0),(((Table1[[#This Row],[NG Actual EUI]]*Table1[[#This Row],[Area sqft]]*Gas.GHG)/10.395)/1000),0)</f>
        <v>0</v>
      </c>
      <c r="W26" s="101">
        <f>IF(AND(Table1[[#This Row],[Natural Gas Target]]&lt;&gt;0,Table1[[#This Row],[NG Consump m3]]&lt;&gt;0),IF(Table1[[#This Row],[Natural Gas Target]]&gt;Table1[[#This Row],[NG Actual EUI]],Table1[[#This Row],[NG Actual EUI]],Table1[[#This Row],[Natural Gas Target]]),0)</f>
        <v>0</v>
      </c>
      <c r="X26" s="100">
        <f>IF(AND(ISNUMBER(Table1[[#This Row],[UU Area]]),Table1[[#This Row],[NG Consump m3]]&lt;&gt;0),((Table1[[#This Row],[NG Target EUI]]*Table1[[#This Row],[Area sqft]]*Gas.GHG)/10.395)/1000,0)</f>
        <v>0</v>
      </c>
      <c r="Y26" s="135">
        <f>Table1[[#This Row],[Elec Actual EUI]]+Table1[[#This Row],[NG Actual EUI]]</f>
        <v>0</v>
      </c>
      <c r="Z26" s="102">
        <f>IF(AND(Table1[[#This Row],[Area sqft]]&lt;&gt;0,Table1[[#This Row],[Area sqft]]&lt;&gt;""),((Table1[[#This Row],[NG Consump m3]]*Gas.GHG)+(Table1[[#This Row],[Annual Consumption kWh]]*Elec.GHG))/Table1[[#This Row],[Area sqft]],0)</f>
        <v>0</v>
      </c>
      <c r="AA26" s="22" t="str">
        <f>IF(Table1[[#This Row],[Elec Actual EUI]]&lt;&gt;0,(Table1[[#This Row],[Elec Actual EUI]]-Table1[[#This Row],[Elec Target EUI]])/Table1[[#This Row],[Elec Actual EUI]],"")</f>
        <v/>
      </c>
      <c r="AB26" s="21" t="str">
        <f>IF(AND(ISNUMBER(Table1[[#This Row],[Area sqft]]),Table1[[#This Row],[Annual Consumption kWh]]&lt;&gt;0),(Table1[[#This Row],[Elec Actual EUI]]-Table1[[#This Row],[Elec Target EUI]])*Table1[[#This Row],[Area sqft]]*Elec.Cost,"")</f>
        <v/>
      </c>
      <c r="AC26" s="23" t="str">
        <f>IF(Table1[[#This Row],[NG Actual EUI]]&lt;&gt;0,(Table1[[#This Row],[NG Actual EUI]]-Table1[[#This Row],[NG Target EUI]])/Table1[[#This Row],[NG Actual EUI]],"")</f>
        <v/>
      </c>
      <c r="AD26" s="21" t="str">
        <f>IF(AND(ISNUMBER(Table1[[#This Row],[Area sqft]]),Table1[[#This Row],[NG Consump m3]]&lt;&gt;0),((Table1[[#This Row],[NG Actual EUI]]-Table1[[#This Row],[NG Target EUI]])/10.395)*Table1[[#This Row],[Area sqft]]*Gas.Cost,"")</f>
        <v/>
      </c>
      <c r="AE26" s="23" t="str">
        <f>IF((Table1[[#This Row],[Elec Actual EUI]]+Table1[[#This Row],[NG Actual EUI]])&lt;&gt;0,((Table1[[#This Row],[Elec Actual EUI]]+Table1[[#This Row],[NG Actual EUI]])-(Table1[[#This Row],[Elec Target EUI]]+Table1[[#This Row],[NG Target EUI]]))/(Table1[[#This Row],[Elec Actual EUI]]+Table1[[#This Row],[NG Actual EUI]]),"")</f>
        <v/>
      </c>
      <c r="AF26" s="21" t="str">
        <f>IF(AND(Table1[[#This Row],[Annual Consumption kWh]]&lt;&gt;0,Table1[[#This Row],[NG Consump m3]]&lt;&gt;0),Table1[[#This Row],[Elec $/yr Target Save]]+Table1[[#This Row],[NG $/yr Target Save]],"")</f>
        <v/>
      </c>
      <c r="AG26" s="23" t="str">
        <f>IF((Table1[[#This Row],[Elec Actual GHG Tonne]]+Table1[[#This Row],[NG Actual GHG Tonne]])&lt;&gt;0,((Table1[[#This Row],[Elec Actual GHG Tonne]]+Table1[[#This Row],[NG Actual GHG Tonne]])-(Table1[[#This Row],[Elec Target GHG Tonne]]+Table1[[#This Row],[NG Target GHG Tonne]]))/(Table1[[#This Row],[Elec Actual GHG Tonne]]+Table1[[#This Row],[NG Actual GHG Tonne]]),"")</f>
        <v/>
      </c>
      <c r="AH26" s="24" t="str">
        <f>IF((Table1[[#This Row],[Annual Consumption kWh]]+Table1[[#This Row],[NG Consump m3]])&lt;&gt;0,( (Table1[[#This Row],[Elec Actual GHG Tonne]]+Table1[[#This Row],[NG Actual GHG Tonne]])-(Table1[[#This Row],[Elec Target GHG Tonne]]+Table1[[#This Row],[NG Target GHG Tonne]]) ),"")</f>
        <v/>
      </c>
      <c r="AI26" s="1"/>
      <c r="AJ26" s="1"/>
    </row>
    <row r="27" spans="1:36" ht="13.9" customHeight="1" x14ac:dyDescent="0.3">
      <c r="A27" s="1"/>
      <c r="B27" s="25"/>
      <c r="C27" s="26"/>
      <c r="D27" s="27"/>
      <c r="E27" s="84" t="str">
        <f t="shared" si="0"/>
        <v/>
      </c>
      <c r="F27" s="35"/>
      <c r="G27" s="35"/>
      <c r="H27" s="82" t="str">
        <f>IF(Table1[[#This Row],[Target Type]]&lt;&gt;"",VLOOKUP(F27,'Targets and Assumptions'!$B$11:$G$21,IF(Table1[[#This Row],[Target Type]]="Top Quartile",3,5),FALSE),"")</f>
        <v/>
      </c>
      <c r="I27" s="82" t="str">
        <f>IF(Table1[[#This Row],[Target Type]]&lt;&gt;"",VLOOKUP(F27,'Targets and Assumptions'!$B$11:$G$21,IF(Table1[[#This Row],[Target Type]]="Top Quartile",4,6),FALSE),"")</f>
        <v/>
      </c>
      <c r="J27" s="28"/>
      <c r="K27" s="28"/>
      <c r="L27" s="85">
        <f>(Table1[[#This Row],[Elec Annual Consump kWh]]+(Table1[[#This Row],[Chill Water Annual Consumption]]*CHW.Elec.Convert))</f>
        <v>0</v>
      </c>
      <c r="M27" s="97">
        <f t="shared" si="1"/>
        <v>0</v>
      </c>
      <c r="N27" s="98">
        <f t="shared" si="2"/>
        <v>0</v>
      </c>
      <c r="O27" s="97">
        <f>IF(AND(ISNUMBER(C27),L27&lt;&gt;0),IF(Table1[[#This Row],[Electricity Target]]&gt;M27,M27,Table1[[#This Row],[Electricity Target]]),0)</f>
        <v>0</v>
      </c>
      <c r="P27" s="98">
        <f t="shared" si="3"/>
        <v>0</v>
      </c>
      <c r="Q27" s="29"/>
      <c r="R27" s="30"/>
      <c r="S27" s="96"/>
      <c r="T27" s="40">
        <f>IF(Table1[[#This Row],[NG input Unit]]&lt;&gt;"",IF(Table1[[#This Row],[NG input Unit]]="GJ",Table1[[#This Row],[UU NG Consump]]*26.853,Table1[[#This Row],[UU NG Consump]]),0)+(Table1[[#This Row],[kLbs Steam]]*Stm.Gas.Convert)</f>
        <v>0</v>
      </c>
      <c r="U27" s="99">
        <f>IF(AND(ISNUMBER(Table1[[#This Row],[UU Area]]),Table1[[#This Row],[NG Consump m3]]&lt;&gt;0),(Table1[[#This Row],[NG Consump m3]]*10.395)/Table1[[#This Row],[Area sqft]],0)</f>
        <v>0</v>
      </c>
      <c r="V27" s="100">
        <f>IF(AND(ISNUMBER(Table1[[#This Row],[UU Area]]),Table1[[#This Row],[NG Consump m3]]&lt;&gt;0),(((Table1[[#This Row],[NG Actual EUI]]*Table1[[#This Row],[Area sqft]]*Gas.GHG)/10.395)/1000),0)</f>
        <v>0</v>
      </c>
      <c r="W27" s="101">
        <f>IF(AND(Table1[[#This Row],[Natural Gas Target]]&lt;&gt;0,Table1[[#This Row],[NG Consump m3]]&lt;&gt;0),IF(Table1[[#This Row],[Natural Gas Target]]&gt;Table1[[#This Row],[NG Actual EUI]],Table1[[#This Row],[NG Actual EUI]],Table1[[#This Row],[Natural Gas Target]]),0)</f>
        <v>0</v>
      </c>
      <c r="X27" s="100">
        <f>IF(AND(ISNUMBER(Table1[[#This Row],[UU Area]]),Table1[[#This Row],[NG Consump m3]]&lt;&gt;0),((Table1[[#This Row],[NG Target EUI]]*Table1[[#This Row],[Area sqft]]*Gas.GHG)/10.395)/1000,0)</f>
        <v>0</v>
      </c>
      <c r="Y27" s="135">
        <f>Table1[[#This Row],[Elec Actual EUI]]+Table1[[#This Row],[NG Actual EUI]]</f>
        <v>0</v>
      </c>
      <c r="Z27" s="102">
        <f>IF(AND(Table1[[#This Row],[Area sqft]]&lt;&gt;0,Table1[[#This Row],[Area sqft]]&lt;&gt;""),((Table1[[#This Row],[NG Consump m3]]*Gas.GHG)+(Table1[[#This Row],[Annual Consumption kWh]]*Elec.GHG))/Table1[[#This Row],[Area sqft]],0)</f>
        <v>0</v>
      </c>
      <c r="AA27" s="22" t="str">
        <f>IF(Table1[[#This Row],[Elec Actual EUI]]&lt;&gt;0,(Table1[[#This Row],[Elec Actual EUI]]-Table1[[#This Row],[Elec Target EUI]])/Table1[[#This Row],[Elec Actual EUI]],"")</f>
        <v/>
      </c>
      <c r="AB27" s="21" t="str">
        <f>IF(AND(ISNUMBER(Table1[[#This Row],[Area sqft]]),Table1[[#This Row],[Annual Consumption kWh]]&lt;&gt;0),(Table1[[#This Row],[Elec Actual EUI]]-Table1[[#This Row],[Elec Target EUI]])*Table1[[#This Row],[Area sqft]]*Elec.Cost,"")</f>
        <v/>
      </c>
      <c r="AC27" s="23" t="str">
        <f>IF(Table1[[#This Row],[NG Actual EUI]]&lt;&gt;0,(Table1[[#This Row],[NG Actual EUI]]-Table1[[#This Row],[NG Target EUI]])/Table1[[#This Row],[NG Actual EUI]],"")</f>
        <v/>
      </c>
      <c r="AD27" s="21" t="str">
        <f>IF(AND(ISNUMBER(Table1[[#This Row],[Area sqft]]),Table1[[#This Row],[NG Consump m3]]&lt;&gt;0),((Table1[[#This Row],[NG Actual EUI]]-Table1[[#This Row],[NG Target EUI]])/10.395)*Table1[[#This Row],[Area sqft]]*Gas.Cost,"")</f>
        <v/>
      </c>
      <c r="AE27" s="23" t="str">
        <f>IF((Table1[[#This Row],[Elec Actual EUI]]+Table1[[#This Row],[NG Actual EUI]])&lt;&gt;0,((Table1[[#This Row],[Elec Actual EUI]]+Table1[[#This Row],[NG Actual EUI]])-(Table1[[#This Row],[Elec Target EUI]]+Table1[[#This Row],[NG Target EUI]]))/(Table1[[#This Row],[Elec Actual EUI]]+Table1[[#This Row],[NG Actual EUI]]),"")</f>
        <v/>
      </c>
      <c r="AF27" s="21" t="str">
        <f>IF(AND(Table1[[#This Row],[Annual Consumption kWh]]&lt;&gt;0,Table1[[#This Row],[NG Consump m3]]&lt;&gt;0),Table1[[#This Row],[Elec $/yr Target Save]]+Table1[[#This Row],[NG $/yr Target Save]],"")</f>
        <v/>
      </c>
      <c r="AG27" s="23" t="str">
        <f>IF((Table1[[#This Row],[Elec Actual GHG Tonne]]+Table1[[#This Row],[NG Actual GHG Tonne]])&lt;&gt;0,((Table1[[#This Row],[Elec Actual GHG Tonne]]+Table1[[#This Row],[NG Actual GHG Tonne]])-(Table1[[#This Row],[Elec Target GHG Tonne]]+Table1[[#This Row],[NG Target GHG Tonne]]))/(Table1[[#This Row],[Elec Actual GHG Tonne]]+Table1[[#This Row],[NG Actual GHG Tonne]]),"")</f>
        <v/>
      </c>
      <c r="AH27" s="24" t="str">
        <f>IF((Table1[[#This Row],[Annual Consumption kWh]]+Table1[[#This Row],[NG Consump m3]])&lt;&gt;0,( (Table1[[#This Row],[Elec Actual GHG Tonne]]+Table1[[#This Row],[NG Actual GHG Tonne]])-(Table1[[#This Row],[Elec Target GHG Tonne]]+Table1[[#This Row],[NG Target GHG Tonne]]) ),"")</f>
        <v/>
      </c>
      <c r="AI27" s="1"/>
      <c r="AJ27" s="1"/>
    </row>
    <row r="28" spans="1:36" x14ac:dyDescent="0.3">
      <c r="A28" s="1"/>
      <c r="B28" s="25"/>
      <c r="C28" s="26"/>
      <c r="D28" s="27"/>
      <c r="E28" s="84" t="str">
        <f t="shared" si="0"/>
        <v/>
      </c>
      <c r="F28" s="35"/>
      <c r="G28" s="35"/>
      <c r="H28" s="82" t="str">
        <f>IF(Table1[[#This Row],[Target Type]]&lt;&gt;"",VLOOKUP(F28,'Targets and Assumptions'!$B$11:$G$21,IF(Table1[[#This Row],[Target Type]]="Top Quartile",3,5),FALSE),"")</f>
        <v/>
      </c>
      <c r="I28" s="82" t="str">
        <f>IF(Table1[[#This Row],[Target Type]]&lt;&gt;"",VLOOKUP(F28,'Targets and Assumptions'!$B$11:$G$21,IF(Table1[[#This Row],[Target Type]]="Top Quartile",4,6),FALSE),"")</f>
        <v/>
      </c>
      <c r="J28" s="28"/>
      <c r="K28" s="28"/>
      <c r="L28" s="85">
        <f>(Table1[[#This Row],[Elec Annual Consump kWh]]+(Table1[[#This Row],[Chill Water Annual Consumption]]*CHW.Elec.Convert))</f>
        <v>0</v>
      </c>
      <c r="M28" s="97">
        <f t="shared" si="1"/>
        <v>0</v>
      </c>
      <c r="N28" s="98">
        <f t="shared" si="2"/>
        <v>0</v>
      </c>
      <c r="O28" s="97">
        <f>IF(AND(ISNUMBER(C28),L28&lt;&gt;0),IF(Table1[[#This Row],[Electricity Target]]&gt;M28,M28,Table1[[#This Row],[Electricity Target]]),0)</f>
        <v>0</v>
      </c>
      <c r="P28" s="98">
        <f t="shared" si="3"/>
        <v>0</v>
      </c>
      <c r="Q28" s="29"/>
      <c r="R28" s="30"/>
      <c r="S28" s="96"/>
      <c r="T28" s="40">
        <f>IF(Table1[[#This Row],[NG input Unit]]&lt;&gt;"",IF(Table1[[#This Row],[NG input Unit]]="GJ",Table1[[#This Row],[UU NG Consump]]*26.853,Table1[[#This Row],[UU NG Consump]]),0)+(Table1[[#This Row],[kLbs Steam]]*Stm.Gas.Convert)</f>
        <v>0</v>
      </c>
      <c r="U28" s="99">
        <f>IF(AND(ISNUMBER(Table1[[#This Row],[UU Area]]),Table1[[#This Row],[NG Consump m3]]&lt;&gt;0),(Table1[[#This Row],[NG Consump m3]]*10.395)/Table1[[#This Row],[Area sqft]],0)</f>
        <v>0</v>
      </c>
      <c r="V28" s="100">
        <f>IF(AND(ISNUMBER(Table1[[#This Row],[UU Area]]),Table1[[#This Row],[NG Consump m3]]&lt;&gt;0),(((Table1[[#This Row],[NG Actual EUI]]*Table1[[#This Row],[Area sqft]]*Gas.GHG)/10.395)/1000),0)</f>
        <v>0</v>
      </c>
      <c r="W28" s="101">
        <f>IF(AND(Table1[[#This Row],[Natural Gas Target]]&lt;&gt;0,Table1[[#This Row],[NG Consump m3]]&lt;&gt;0),IF(Table1[[#This Row],[Natural Gas Target]]&gt;Table1[[#This Row],[NG Actual EUI]],Table1[[#This Row],[NG Actual EUI]],Table1[[#This Row],[Natural Gas Target]]),0)</f>
        <v>0</v>
      </c>
      <c r="X28" s="100">
        <f>IF(AND(ISNUMBER(Table1[[#This Row],[UU Area]]),Table1[[#This Row],[NG Consump m3]]&lt;&gt;0),((Table1[[#This Row],[NG Target EUI]]*Table1[[#This Row],[Area sqft]]*Gas.GHG)/10.395)/1000,0)</f>
        <v>0</v>
      </c>
      <c r="Y28" s="135">
        <f>Table1[[#This Row],[Elec Actual EUI]]+Table1[[#This Row],[NG Actual EUI]]</f>
        <v>0</v>
      </c>
      <c r="Z28" s="102">
        <f>IF(AND(Table1[[#This Row],[Area sqft]]&lt;&gt;0,Table1[[#This Row],[Area sqft]]&lt;&gt;""),((Table1[[#This Row],[NG Consump m3]]*Gas.GHG)+(Table1[[#This Row],[Annual Consumption kWh]]*Elec.GHG))/Table1[[#This Row],[Area sqft]],0)</f>
        <v>0</v>
      </c>
      <c r="AA28" s="22" t="str">
        <f>IF(Table1[[#This Row],[Elec Actual EUI]]&lt;&gt;0,(Table1[[#This Row],[Elec Actual EUI]]-Table1[[#This Row],[Elec Target EUI]])/Table1[[#This Row],[Elec Actual EUI]],"")</f>
        <v/>
      </c>
      <c r="AB28" s="21" t="str">
        <f>IF(AND(ISNUMBER(Table1[[#This Row],[Area sqft]]),Table1[[#This Row],[Annual Consumption kWh]]&lt;&gt;0),(Table1[[#This Row],[Elec Actual EUI]]-Table1[[#This Row],[Elec Target EUI]])*Table1[[#This Row],[Area sqft]]*Elec.Cost,"")</f>
        <v/>
      </c>
      <c r="AC28" s="23" t="str">
        <f>IF(Table1[[#This Row],[NG Actual EUI]]&lt;&gt;0,(Table1[[#This Row],[NG Actual EUI]]-Table1[[#This Row],[NG Target EUI]])/Table1[[#This Row],[NG Actual EUI]],"")</f>
        <v/>
      </c>
      <c r="AD28" s="21" t="str">
        <f>IF(AND(ISNUMBER(Table1[[#This Row],[Area sqft]]),Table1[[#This Row],[NG Consump m3]]&lt;&gt;0),((Table1[[#This Row],[NG Actual EUI]]-Table1[[#This Row],[NG Target EUI]])/10.395)*Table1[[#This Row],[Area sqft]]*Gas.Cost,"")</f>
        <v/>
      </c>
      <c r="AE28" s="23" t="str">
        <f>IF((Table1[[#This Row],[Elec Actual EUI]]+Table1[[#This Row],[NG Actual EUI]])&lt;&gt;0,((Table1[[#This Row],[Elec Actual EUI]]+Table1[[#This Row],[NG Actual EUI]])-(Table1[[#This Row],[Elec Target EUI]]+Table1[[#This Row],[NG Target EUI]]))/(Table1[[#This Row],[Elec Actual EUI]]+Table1[[#This Row],[NG Actual EUI]]),"")</f>
        <v/>
      </c>
      <c r="AF28" s="21" t="str">
        <f>IF(AND(Table1[[#This Row],[Annual Consumption kWh]]&lt;&gt;0,Table1[[#This Row],[NG Consump m3]]&lt;&gt;0),Table1[[#This Row],[Elec $/yr Target Save]]+Table1[[#This Row],[NG $/yr Target Save]],"")</f>
        <v/>
      </c>
      <c r="AG28" s="23" t="str">
        <f>IF((Table1[[#This Row],[Elec Actual GHG Tonne]]+Table1[[#This Row],[NG Actual GHG Tonne]])&lt;&gt;0,((Table1[[#This Row],[Elec Actual GHG Tonne]]+Table1[[#This Row],[NG Actual GHG Tonne]])-(Table1[[#This Row],[Elec Target GHG Tonne]]+Table1[[#This Row],[NG Target GHG Tonne]]))/(Table1[[#This Row],[Elec Actual GHG Tonne]]+Table1[[#This Row],[NG Actual GHG Tonne]]),"")</f>
        <v/>
      </c>
      <c r="AH28" s="24" t="str">
        <f>IF((Table1[[#This Row],[Annual Consumption kWh]]+Table1[[#This Row],[NG Consump m3]])&lt;&gt;0,( (Table1[[#This Row],[Elec Actual GHG Tonne]]+Table1[[#This Row],[NG Actual GHG Tonne]])-(Table1[[#This Row],[Elec Target GHG Tonne]]+Table1[[#This Row],[NG Target GHG Tonne]]) ),"")</f>
        <v/>
      </c>
      <c r="AI28" s="1"/>
      <c r="AJ28" s="1"/>
    </row>
    <row r="29" spans="1:36" x14ac:dyDescent="0.3">
      <c r="A29" s="1"/>
      <c r="B29" s="25"/>
      <c r="C29" s="26"/>
      <c r="D29" s="27"/>
      <c r="E29" s="84" t="str">
        <f t="shared" si="0"/>
        <v/>
      </c>
      <c r="F29" s="35"/>
      <c r="G29" s="35"/>
      <c r="H29" s="82" t="str">
        <f>IF(Table1[[#This Row],[Target Type]]&lt;&gt;"",VLOOKUP(F29,'Targets and Assumptions'!$B$11:$G$21,IF(Table1[[#This Row],[Target Type]]="Top Quartile",3,5),FALSE),"")</f>
        <v/>
      </c>
      <c r="I29" s="82" t="str">
        <f>IF(Table1[[#This Row],[Target Type]]&lt;&gt;"",VLOOKUP(F29,'Targets and Assumptions'!$B$11:$G$21,IF(Table1[[#This Row],[Target Type]]="Top Quartile",4,6),FALSE),"")</f>
        <v/>
      </c>
      <c r="J29" s="28"/>
      <c r="K29" s="28"/>
      <c r="L29" s="85">
        <f>(Table1[[#This Row],[Elec Annual Consump kWh]]+(Table1[[#This Row],[Chill Water Annual Consumption]]*CHW.Elec.Convert))</f>
        <v>0</v>
      </c>
      <c r="M29" s="97"/>
      <c r="N29" s="98"/>
      <c r="O29" s="97"/>
      <c r="P29" s="98">
        <f t="shared" si="3"/>
        <v>0</v>
      </c>
      <c r="Q29" s="29"/>
      <c r="R29" s="30"/>
      <c r="S29" s="96"/>
      <c r="T29" s="40">
        <f>IF(Table1[[#This Row],[NG input Unit]]&lt;&gt;"",IF(Table1[[#This Row],[NG input Unit]]="GJ",Table1[[#This Row],[UU NG Consump]]*26.853,Table1[[#This Row],[UU NG Consump]]),0)+(Table1[[#This Row],[kLbs Steam]]*Stm.Gas.Convert)</f>
        <v>0</v>
      </c>
      <c r="U29" s="99">
        <f>IF(AND(ISNUMBER(Table1[[#This Row],[UU Area]]),Table1[[#This Row],[NG Consump m3]]&lt;&gt;0),(Table1[[#This Row],[NG Consump m3]]*10.395)/Table1[[#This Row],[Area sqft]],0)</f>
        <v>0</v>
      </c>
      <c r="V29" s="100">
        <f>IF(AND(ISNUMBER(Table1[[#This Row],[UU Area]]),Table1[[#This Row],[NG Consump m3]]&lt;&gt;0),(((Table1[[#This Row],[NG Actual EUI]]*Table1[[#This Row],[Area sqft]]*Gas.GHG)/10.395)/1000),0)</f>
        <v>0</v>
      </c>
      <c r="W29" s="101">
        <f>IF(AND(Table1[[#This Row],[Natural Gas Target]]&lt;&gt;0,Table1[[#This Row],[NG Consump m3]]&lt;&gt;0),IF(Table1[[#This Row],[Natural Gas Target]]&gt;Table1[[#This Row],[NG Actual EUI]],Table1[[#This Row],[NG Actual EUI]],Table1[[#This Row],[Natural Gas Target]]),0)</f>
        <v>0</v>
      </c>
      <c r="X29" s="100">
        <f>IF(AND(ISNUMBER(Table1[[#This Row],[UU Area]]),Table1[[#This Row],[NG Consump m3]]&lt;&gt;0),((Table1[[#This Row],[NG Target EUI]]*Table1[[#This Row],[Area sqft]]*Gas.GHG)/10.395)/1000,0)</f>
        <v>0</v>
      </c>
      <c r="Y29" s="135">
        <f>Table1[[#This Row],[Elec Actual EUI]]+Table1[[#This Row],[NG Actual EUI]]</f>
        <v>0</v>
      </c>
      <c r="Z29" s="102">
        <f>IF(AND(Table1[[#This Row],[Area sqft]]&lt;&gt;0,Table1[[#This Row],[Area sqft]]&lt;&gt;""),((Table1[[#This Row],[NG Consump m3]]*Gas.GHG)+(Table1[[#This Row],[Annual Consumption kWh]]*Elec.GHG))/Table1[[#This Row],[Area sqft]],0)</f>
        <v>0</v>
      </c>
      <c r="AA29" s="22" t="str">
        <f>IF(Table1[[#This Row],[Elec Actual EUI]]&lt;&gt;0,(Table1[[#This Row],[Elec Actual EUI]]-Table1[[#This Row],[Elec Target EUI]])/Table1[[#This Row],[Elec Actual EUI]],"")</f>
        <v/>
      </c>
      <c r="AB29" s="21" t="str">
        <f>IF(AND(ISNUMBER(Table1[[#This Row],[Area sqft]]),Table1[[#This Row],[Annual Consumption kWh]]&lt;&gt;0),(Table1[[#This Row],[Elec Actual EUI]]-Table1[[#This Row],[Elec Target EUI]])*Table1[[#This Row],[Area sqft]]*Elec.Cost,"")</f>
        <v/>
      </c>
      <c r="AC29" s="23" t="str">
        <f>IF(Table1[[#This Row],[NG Actual EUI]]&lt;&gt;0,(Table1[[#This Row],[NG Actual EUI]]-Table1[[#This Row],[NG Target EUI]])/Table1[[#This Row],[NG Actual EUI]],"")</f>
        <v/>
      </c>
      <c r="AD29" s="21" t="str">
        <f>IF(AND(ISNUMBER(Table1[[#This Row],[Area sqft]]),Table1[[#This Row],[NG Consump m3]]&lt;&gt;0),((Table1[[#This Row],[NG Actual EUI]]-Table1[[#This Row],[NG Target EUI]])/10.395)*Table1[[#This Row],[Area sqft]]*Gas.Cost,"")</f>
        <v/>
      </c>
      <c r="AE29" s="23" t="str">
        <f>IF((Table1[[#This Row],[Elec Actual EUI]]+Table1[[#This Row],[NG Actual EUI]])&lt;&gt;0,((Table1[[#This Row],[Elec Actual EUI]]+Table1[[#This Row],[NG Actual EUI]])-(Table1[[#This Row],[Elec Target EUI]]+Table1[[#This Row],[NG Target EUI]]))/(Table1[[#This Row],[Elec Actual EUI]]+Table1[[#This Row],[NG Actual EUI]]),"")</f>
        <v/>
      </c>
      <c r="AF29" s="21" t="str">
        <f>IF(AND(Table1[[#This Row],[Annual Consumption kWh]]&lt;&gt;0,Table1[[#This Row],[NG Consump m3]]&lt;&gt;0),Table1[[#This Row],[Elec $/yr Target Save]]+Table1[[#This Row],[NG $/yr Target Save]],"")</f>
        <v/>
      </c>
      <c r="AG29" s="23" t="str">
        <f>IF((Table1[[#This Row],[Elec Actual GHG Tonne]]+Table1[[#This Row],[NG Actual GHG Tonne]])&lt;&gt;0,((Table1[[#This Row],[Elec Actual GHG Tonne]]+Table1[[#This Row],[NG Actual GHG Tonne]])-(Table1[[#This Row],[Elec Target GHG Tonne]]+Table1[[#This Row],[NG Target GHG Tonne]]))/(Table1[[#This Row],[Elec Actual GHG Tonne]]+Table1[[#This Row],[NG Actual GHG Tonne]]),"")</f>
        <v/>
      </c>
      <c r="AH29" s="24" t="str">
        <f>IF((Table1[[#This Row],[Annual Consumption kWh]]+Table1[[#This Row],[NG Consump m3]])&lt;&gt;0,( (Table1[[#This Row],[Elec Actual GHG Tonne]]+Table1[[#This Row],[NG Actual GHG Tonne]])-(Table1[[#This Row],[Elec Target GHG Tonne]]+Table1[[#This Row],[NG Target GHG Tonne]]) ),"")</f>
        <v/>
      </c>
      <c r="AI29" s="1"/>
      <c r="AJ29" s="1"/>
    </row>
    <row r="30" spans="1:36" x14ac:dyDescent="0.3">
      <c r="A30" s="1"/>
      <c r="B30" s="25"/>
      <c r="C30" s="26"/>
      <c r="D30" s="27"/>
      <c r="E30" s="84" t="str">
        <f t="shared" si="0"/>
        <v/>
      </c>
      <c r="F30" s="35"/>
      <c r="G30" s="35"/>
      <c r="H30" s="82" t="str">
        <f>IF(Table1[[#This Row],[Target Type]]&lt;&gt;"",VLOOKUP(F30,'Targets and Assumptions'!$B$11:$G$21,IF(Table1[[#This Row],[Target Type]]="Top Quartile",3,5),FALSE),"")</f>
        <v/>
      </c>
      <c r="I30" s="82" t="str">
        <f>IF(Table1[[#This Row],[Target Type]]&lt;&gt;"",VLOOKUP(F30,'Targets and Assumptions'!$B$11:$G$21,IF(Table1[[#This Row],[Target Type]]="Top Quartile",4,6),FALSE),"")</f>
        <v/>
      </c>
      <c r="J30" s="28"/>
      <c r="K30" s="28"/>
      <c r="L30" s="85">
        <f>(Table1[[#This Row],[Elec Annual Consump kWh]]+(Table1[[#This Row],[Chill Water Annual Consumption]]*CHW.Elec.Convert))</f>
        <v>0</v>
      </c>
      <c r="M30" s="97">
        <f>IF(AND(ISNUMBER(C30),L30&lt;&gt;0),L30/E30,0)</f>
        <v>0</v>
      </c>
      <c r="N30" s="98">
        <f>IF(AND(ISNUMBER(C30),L30&lt;&gt;0),(M30*E30*Elec.GHG)/1000,0)</f>
        <v>0</v>
      </c>
      <c r="O30" s="97">
        <f>IF(AND(ISNUMBER(C30),L30&lt;&gt;0),IF(Table1[[#This Row],[Electricity Target]]&gt;M30,M30,Table1[[#This Row],[Electricity Target]]),0)</f>
        <v>0</v>
      </c>
      <c r="P30" s="98">
        <f t="shared" si="3"/>
        <v>0</v>
      </c>
      <c r="Q30" s="29"/>
      <c r="R30" s="30"/>
      <c r="S30" s="96"/>
      <c r="T30" s="40">
        <f>IF(Table1[[#This Row],[NG input Unit]]&lt;&gt;"",IF(Table1[[#This Row],[NG input Unit]]="GJ",Table1[[#This Row],[UU NG Consump]]*26.853,Table1[[#This Row],[UU NG Consump]]),0)+(Table1[[#This Row],[kLbs Steam]]*Stm.Gas.Convert)</f>
        <v>0</v>
      </c>
      <c r="U30" s="99">
        <f>IF(AND(ISNUMBER(Table1[[#This Row],[UU Area]]),Table1[[#This Row],[NG Consump m3]]&lt;&gt;0),(Table1[[#This Row],[NG Consump m3]]*10.395)/Table1[[#This Row],[Area sqft]],0)</f>
        <v>0</v>
      </c>
      <c r="V30" s="100">
        <f>IF(AND(ISNUMBER(Table1[[#This Row],[UU Area]]),Table1[[#This Row],[NG Consump m3]]&lt;&gt;0),(((Table1[[#This Row],[NG Actual EUI]]*Table1[[#This Row],[Area sqft]]*Gas.GHG)/10.395)/1000),0)</f>
        <v>0</v>
      </c>
      <c r="W30" s="101">
        <f>IF(AND(Table1[[#This Row],[Natural Gas Target]]&lt;&gt;0,Table1[[#This Row],[NG Consump m3]]&lt;&gt;0),IF(Table1[[#This Row],[Natural Gas Target]]&gt;Table1[[#This Row],[NG Actual EUI]],Table1[[#This Row],[NG Actual EUI]],Table1[[#This Row],[Natural Gas Target]]),0)</f>
        <v>0</v>
      </c>
      <c r="X30" s="100">
        <f>IF(AND(ISNUMBER(Table1[[#This Row],[UU Area]]),Table1[[#This Row],[NG Consump m3]]&lt;&gt;0),((Table1[[#This Row],[NG Target EUI]]*Table1[[#This Row],[Area sqft]]*Gas.GHG)/10.395)/1000,0)</f>
        <v>0</v>
      </c>
      <c r="Y30" s="135">
        <f>Table1[[#This Row],[Elec Actual EUI]]+Table1[[#This Row],[NG Actual EUI]]</f>
        <v>0</v>
      </c>
      <c r="Z30" s="102">
        <f>IF(AND(Table1[[#This Row],[Area sqft]]&lt;&gt;0,Table1[[#This Row],[Area sqft]]&lt;&gt;""),((Table1[[#This Row],[NG Consump m3]]*Gas.GHG)+(Table1[[#This Row],[Annual Consumption kWh]]*Elec.GHG))/Table1[[#This Row],[Area sqft]],0)</f>
        <v>0</v>
      </c>
      <c r="AA30" s="22" t="str">
        <f>IF(Table1[[#This Row],[Elec Actual EUI]]&lt;&gt;0,(Table1[[#This Row],[Elec Actual EUI]]-Table1[[#This Row],[Elec Target EUI]])/Table1[[#This Row],[Elec Actual EUI]],"")</f>
        <v/>
      </c>
      <c r="AB30" s="21" t="str">
        <f>IF(AND(ISNUMBER(Table1[[#This Row],[Area sqft]]),Table1[[#This Row],[Annual Consumption kWh]]&lt;&gt;0),(Table1[[#This Row],[Elec Actual EUI]]-Table1[[#This Row],[Elec Target EUI]])*Table1[[#This Row],[Area sqft]]*Elec.Cost,"")</f>
        <v/>
      </c>
      <c r="AC30" s="23" t="str">
        <f>IF(Table1[[#This Row],[NG Actual EUI]]&lt;&gt;0,(Table1[[#This Row],[NG Actual EUI]]-Table1[[#This Row],[NG Target EUI]])/Table1[[#This Row],[NG Actual EUI]],"")</f>
        <v/>
      </c>
      <c r="AD30" s="21" t="str">
        <f>IF(AND(ISNUMBER(Table1[[#This Row],[Area sqft]]),Table1[[#This Row],[NG Consump m3]]&lt;&gt;0),((Table1[[#This Row],[NG Actual EUI]]-Table1[[#This Row],[NG Target EUI]])/10.395)*Table1[[#This Row],[Area sqft]]*Gas.Cost,"")</f>
        <v/>
      </c>
      <c r="AE30" s="23" t="str">
        <f>IF((Table1[[#This Row],[Elec Actual EUI]]+Table1[[#This Row],[NG Actual EUI]])&lt;&gt;0,((Table1[[#This Row],[Elec Actual EUI]]+Table1[[#This Row],[NG Actual EUI]])-(Table1[[#This Row],[Elec Target EUI]]+Table1[[#This Row],[NG Target EUI]]))/(Table1[[#This Row],[Elec Actual EUI]]+Table1[[#This Row],[NG Actual EUI]]),"")</f>
        <v/>
      </c>
      <c r="AF30" s="21" t="str">
        <f>IF(AND(Table1[[#This Row],[Annual Consumption kWh]]&lt;&gt;0,Table1[[#This Row],[NG Consump m3]]&lt;&gt;0),Table1[[#This Row],[Elec $/yr Target Save]]+Table1[[#This Row],[NG $/yr Target Save]],"")</f>
        <v/>
      </c>
      <c r="AG30" s="23" t="str">
        <f>IF((Table1[[#This Row],[Elec Actual GHG Tonne]]+Table1[[#This Row],[NG Actual GHG Tonne]])&lt;&gt;0,((Table1[[#This Row],[Elec Actual GHG Tonne]]+Table1[[#This Row],[NG Actual GHG Tonne]])-(Table1[[#This Row],[Elec Target GHG Tonne]]+Table1[[#This Row],[NG Target GHG Tonne]]))/(Table1[[#This Row],[Elec Actual GHG Tonne]]+Table1[[#This Row],[NG Actual GHG Tonne]]),"")</f>
        <v/>
      </c>
      <c r="AH30" s="24" t="str">
        <f>IF((Table1[[#This Row],[Annual Consumption kWh]]+Table1[[#This Row],[NG Consump m3]])&lt;&gt;0,( (Table1[[#This Row],[Elec Actual GHG Tonne]]+Table1[[#This Row],[NG Actual GHG Tonne]])-(Table1[[#This Row],[Elec Target GHG Tonne]]+Table1[[#This Row],[NG Target GHG Tonne]]) ),"")</f>
        <v/>
      </c>
      <c r="AI30" s="1"/>
      <c r="AJ30" s="1"/>
    </row>
    <row r="31" spans="1:36" x14ac:dyDescent="0.3">
      <c r="A31" s="1"/>
      <c r="B31" s="25"/>
      <c r="C31" s="26"/>
      <c r="D31" s="27"/>
      <c r="E31" s="84" t="str">
        <f t="shared" si="0"/>
        <v/>
      </c>
      <c r="F31" s="35"/>
      <c r="G31" s="35"/>
      <c r="H31" s="82" t="str">
        <f>IF(Table1[[#This Row],[Target Type]]&lt;&gt;"",VLOOKUP(F31,'Targets and Assumptions'!$B$11:$G$21,IF(Table1[[#This Row],[Target Type]]="Top Quartile",3,5),FALSE),"")</f>
        <v/>
      </c>
      <c r="I31" s="82" t="str">
        <f>IF(Table1[[#This Row],[Target Type]]&lt;&gt;"",VLOOKUP(F31,'Targets and Assumptions'!$B$11:$G$21,IF(Table1[[#This Row],[Target Type]]="Top Quartile",4,6),FALSE),"")</f>
        <v/>
      </c>
      <c r="J31" s="28"/>
      <c r="K31" s="28"/>
      <c r="L31" s="85">
        <f>(Table1[[#This Row],[Elec Annual Consump kWh]]+(Table1[[#This Row],[Chill Water Annual Consumption]]*CHW.Elec.Convert))</f>
        <v>0</v>
      </c>
      <c r="M31" s="97">
        <f>IF(AND(ISNUMBER(C31),L31&lt;&gt;0),L31/E31,0)</f>
        <v>0</v>
      </c>
      <c r="N31" s="98">
        <f>IF(AND(ISNUMBER(C31),L31&lt;&gt;0),(M31*E31*Elec.GHG)/1000,0)</f>
        <v>0</v>
      </c>
      <c r="O31" s="97">
        <f>IF(AND(ISNUMBER(C31),L31&lt;&gt;0),IF(Table1[[#This Row],[Electricity Target]]&gt;M31,M31,Table1[[#This Row],[Electricity Target]]),0)</f>
        <v>0</v>
      </c>
      <c r="P31" s="98">
        <f t="shared" si="3"/>
        <v>0</v>
      </c>
      <c r="Q31" s="29"/>
      <c r="R31" s="30"/>
      <c r="S31" s="96"/>
      <c r="T31" s="40">
        <f>IF(Table1[[#This Row],[NG input Unit]]&lt;&gt;"",IF(Table1[[#This Row],[NG input Unit]]="GJ",Table1[[#This Row],[UU NG Consump]]*26.853,Table1[[#This Row],[UU NG Consump]]),0)+(Table1[[#This Row],[kLbs Steam]]*Stm.Gas.Convert)</f>
        <v>0</v>
      </c>
      <c r="U31" s="99">
        <f>IF(AND(ISNUMBER(Table1[[#This Row],[UU Area]]),Table1[[#This Row],[NG Consump m3]]&lt;&gt;0),(Table1[[#This Row],[NG Consump m3]]*10.395)/Table1[[#This Row],[Area sqft]],0)</f>
        <v>0</v>
      </c>
      <c r="V31" s="100">
        <f>IF(AND(ISNUMBER(Table1[[#This Row],[UU Area]]),Table1[[#This Row],[NG Consump m3]]&lt;&gt;0),(((Table1[[#This Row],[NG Actual EUI]]*Table1[[#This Row],[Area sqft]]*Gas.GHG)/10.395)/1000),0)</f>
        <v>0</v>
      </c>
      <c r="W31" s="101">
        <f>IF(AND(Table1[[#This Row],[Natural Gas Target]]&lt;&gt;0,Table1[[#This Row],[NG Consump m3]]&lt;&gt;0),IF(Table1[[#This Row],[Natural Gas Target]]&gt;Table1[[#This Row],[NG Actual EUI]],Table1[[#This Row],[NG Actual EUI]],Table1[[#This Row],[Natural Gas Target]]),0)</f>
        <v>0</v>
      </c>
      <c r="X31" s="100">
        <f>IF(AND(ISNUMBER(Table1[[#This Row],[UU Area]]),Table1[[#This Row],[NG Consump m3]]&lt;&gt;0),((Table1[[#This Row],[NG Target EUI]]*Table1[[#This Row],[Area sqft]]*Gas.GHG)/10.395)/1000,0)</f>
        <v>0</v>
      </c>
      <c r="Y31" s="135">
        <f>Table1[[#This Row],[Elec Actual EUI]]+Table1[[#This Row],[NG Actual EUI]]</f>
        <v>0</v>
      </c>
      <c r="Z31" s="102">
        <f>IF(AND(Table1[[#This Row],[Area sqft]]&lt;&gt;0,Table1[[#This Row],[Area sqft]]&lt;&gt;""),((Table1[[#This Row],[NG Consump m3]]*Gas.GHG)+(Table1[[#This Row],[Annual Consumption kWh]]*Elec.GHG))/Table1[[#This Row],[Area sqft]],0)</f>
        <v>0</v>
      </c>
      <c r="AA31" s="22" t="str">
        <f>IF(Table1[[#This Row],[Elec Actual EUI]]&lt;&gt;0,(Table1[[#This Row],[Elec Actual EUI]]-Table1[[#This Row],[Elec Target EUI]])/Table1[[#This Row],[Elec Actual EUI]],"")</f>
        <v/>
      </c>
      <c r="AB31" s="21" t="str">
        <f>IF(AND(ISNUMBER(Table1[[#This Row],[Area sqft]]),Table1[[#This Row],[Annual Consumption kWh]]&lt;&gt;0),(Table1[[#This Row],[Elec Actual EUI]]-Table1[[#This Row],[Elec Target EUI]])*Table1[[#This Row],[Area sqft]]*Elec.Cost,"")</f>
        <v/>
      </c>
      <c r="AC31" s="23" t="str">
        <f>IF(Table1[[#This Row],[NG Actual EUI]]&lt;&gt;0,(Table1[[#This Row],[NG Actual EUI]]-Table1[[#This Row],[NG Target EUI]])/Table1[[#This Row],[NG Actual EUI]],"")</f>
        <v/>
      </c>
      <c r="AD31" s="21" t="str">
        <f>IF(AND(ISNUMBER(Table1[[#This Row],[Area sqft]]),Table1[[#This Row],[NG Consump m3]]&lt;&gt;0),((Table1[[#This Row],[NG Actual EUI]]-Table1[[#This Row],[NG Target EUI]])/10.395)*Table1[[#This Row],[Area sqft]]*Gas.Cost,"")</f>
        <v/>
      </c>
      <c r="AE31" s="23" t="str">
        <f>IF((Table1[[#This Row],[Elec Actual EUI]]+Table1[[#This Row],[NG Actual EUI]])&lt;&gt;0,((Table1[[#This Row],[Elec Actual EUI]]+Table1[[#This Row],[NG Actual EUI]])-(Table1[[#This Row],[Elec Target EUI]]+Table1[[#This Row],[NG Target EUI]]))/(Table1[[#This Row],[Elec Actual EUI]]+Table1[[#This Row],[NG Actual EUI]]),"")</f>
        <v/>
      </c>
      <c r="AF31" s="21" t="str">
        <f>IF(AND(Table1[[#This Row],[Annual Consumption kWh]]&lt;&gt;0,Table1[[#This Row],[NG Consump m3]]&lt;&gt;0),Table1[[#This Row],[Elec $/yr Target Save]]+Table1[[#This Row],[NG $/yr Target Save]],"")</f>
        <v/>
      </c>
      <c r="AG31" s="23" t="str">
        <f>IF((Table1[[#This Row],[Elec Actual GHG Tonne]]+Table1[[#This Row],[NG Actual GHG Tonne]])&lt;&gt;0,((Table1[[#This Row],[Elec Actual GHG Tonne]]+Table1[[#This Row],[NG Actual GHG Tonne]])-(Table1[[#This Row],[Elec Target GHG Tonne]]+Table1[[#This Row],[NG Target GHG Tonne]]))/(Table1[[#This Row],[Elec Actual GHG Tonne]]+Table1[[#This Row],[NG Actual GHG Tonne]]),"")</f>
        <v/>
      </c>
      <c r="AH31" s="24" t="str">
        <f>IF((Table1[[#This Row],[Annual Consumption kWh]]+Table1[[#This Row],[NG Consump m3]])&lt;&gt;0,( (Table1[[#This Row],[Elec Actual GHG Tonne]]+Table1[[#This Row],[NG Actual GHG Tonne]])-(Table1[[#This Row],[Elec Target GHG Tonne]]+Table1[[#This Row],[NG Target GHG Tonne]]) ),"")</f>
        <v/>
      </c>
      <c r="AI31" s="1"/>
      <c r="AJ31" s="1"/>
    </row>
    <row r="32" spans="1:36" x14ac:dyDescent="0.3">
      <c r="A32" s="1"/>
      <c r="B32" s="31"/>
      <c r="C32" s="31"/>
      <c r="D32" s="31"/>
      <c r="E32" s="1"/>
      <c r="F32" s="31"/>
      <c r="G32" s="31"/>
      <c r="H32" s="31"/>
      <c r="I32" s="31"/>
      <c r="J32" s="31"/>
      <c r="K32" s="31"/>
      <c r="L32" s="31"/>
      <c r="M32" s="1"/>
      <c r="N32" s="1"/>
      <c r="O32" s="1"/>
      <c r="P32" s="1"/>
      <c r="Q32" s="31"/>
      <c r="R32" s="1"/>
      <c r="S32" s="1"/>
      <c r="T32" s="1"/>
      <c r="U32" s="1"/>
      <c r="V32" s="1"/>
      <c r="W32" s="1"/>
      <c r="X32" s="1"/>
      <c r="Y32" s="128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3">
      <c r="A33" s="1"/>
      <c r="B33" s="31"/>
      <c r="C33" s="31"/>
      <c r="D33" s="31"/>
      <c r="E33" s="1"/>
      <c r="F33" s="31"/>
      <c r="G33" s="31"/>
      <c r="H33" s="31"/>
      <c r="I33" s="31"/>
      <c r="J33" s="31"/>
      <c r="K33" s="31"/>
      <c r="L33" s="31"/>
      <c r="M33" s="1"/>
      <c r="N33" s="1"/>
      <c r="O33" s="1"/>
      <c r="P33" s="1"/>
      <c r="Q33" s="31"/>
      <c r="R33" s="1"/>
      <c r="S33" s="1"/>
      <c r="T33" s="1"/>
      <c r="U33" s="1"/>
      <c r="V33" s="1"/>
      <c r="W33" s="1"/>
      <c r="X33" s="1"/>
      <c r="Y33" s="128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3">
      <c r="A34" s="1"/>
      <c r="B34" s="31"/>
      <c r="C34" s="31"/>
      <c r="D34" s="31"/>
      <c r="E34" s="1"/>
      <c r="F34" s="31"/>
      <c r="G34" s="31"/>
      <c r="H34" s="31"/>
      <c r="I34" s="31"/>
      <c r="J34" s="31"/>
      <c r="K34" s="31"/>
      <c r="L34" s="31"/>
      <c r="M34" s="1"/>
      <c r="N34" s="1"/>
      <c r="O34" s="1"/>
      <c r="P34" s="1"/>
      <c r="Q34" s="31"/>
      <c r="R34" s="1"/>
      <c r="S34" s="1"/>
      <c r="T34" s="1"/>
      <c r="U34" s="1"/>
      <c r="V34" s="1"/>
      <c r="W34" s="1"/>
      <c r="X34" s="1"/>
      <c r="Y34" s="128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3">
      <c r="A35" s="1"/>
      <c r="B35" s="31"/>
      <c r="C35" s="31"/>
      <c r="D35" s="31"/>
      <c r="E35" s="1"/>
      <c r="F35" s="31"/>
      <c r="G35" s="31"/>
      <c r="H35" s="31"/>
      <c r="I35" s="31"/>
      <c r="J35" s="31"/>
      <c r="K35" s="31"/>
      <c r="L35" s="31"/>
      <c r="M35" s="1"/>
      <c r="N35" s="1"/>
      <c r="O35" s="1"/>
      <c r="P35" s="1"/>
      <c r="Q35" s="31"/>
      <c r="R35" s="1"/>
      <c r="S35" s="1"/>
      <c r="T35" s="1"/>
      <c r="U35" s="1"/>
      <c r="V35" s="1"/>
      <c r="W35" s="1"/>
      <c r="X35" s="1"/>
      <c r="Y35" s="128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3">
      <c r="A36" s="1"/>
      <c r="B36" s="31"/>
      <c r="C36" s="31"/>
      <c r="D36" s="31"/>
      <c r="E36" s="1"/>
      <c r="F36" s="31"/>
      <c r="G36" s="31"/>
      <c r="H36" s="31"/>
      <c r="I36" s="31"/>
      <c r="J36" s="31"/>
      <c r="K36" s="31"/>
      <c r="L36" s="31"/>
      <c r="M36" s="1"/>
      <c r="N36" s="1"/>
      <c r="O36" s="1"/>
      <c r="P36" s="1"/>
      <c r="Q36" s="31"/>
      <c r="R36" s="1"/>
      <c r="S36" s="1"/>
      <c r="T36" s="1"/>
      <c r="U36" s="1"/>
      <c r="V36" s="1"/>
      <c r="W36" s="1"/>
      <c r="X36" s="1"/>
      <c r="Y36" s="128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3">
      <c r="A37" s="1"/>
      <c r="B37" s="31"/>
      <c r="C37" s="31"/>
      <c r="D37" s="31"/>
      <c r="E37" s="1"/>
      <c r="F37" s="31"/>
      <c r="G37" s="31"/>
      <c r="H37" s="31"/>
      <c r="I37" s="31"/>
      <c r="J37" s="31"/>
      <c r="K37" s="31"/>
      <c r="L37" s="31"/>
      <c r="M37" s="1"/>
      <c r="N37" s="1"/>
      <c r="O37" s="1"/>
      <c r="P37" s="1"/>
      <c r="Q37" s="31"/>
      <c r="R37" s="1"/>
      <c r="S37" s="1"/>
      <c r="T37" s="1"/>
      <c r="U37" s="1"/>
      <c r="V37" s="1"/>
      <c r="W37" s="1"/>
      <c r="X37" s="1"/>
      <c r="Y37" s="128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3">
      <c r="A38" s="1"/>
      <c r="B38" s="31"/>
      <c r="C38" s="31"/>
      <c r="D38" s="31"/>
      <c r="E38" s="1"/>
      <c r="F38" s="31"/>
      <c r="G38" s="31"/>
      <c r="H38" s="31"/>
      <c r="I38" s="31"/>
      <c r="J38" s="31"/>
      <c r="K38" s="31"/>
      <c r="L38" s="31"/>
      <c r="M38" s="1"/>
      <c r="N38" s="1"/>
      <c r="O38" s="1"/>
      <c r="P38" s="1"/>
      <c r="Q38" s="31"/>
      <c r="R38" s="1"/>
      <c r="S38" s="1"/>
      <c r="T38" s="1"/>
      <c r="U38" s="1"/>
      <c r="V38" s="1"/>
      <c r="W38" s="1"/>
      <c r="X38" s="1"/>
      <c r="Y38" s="128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3">
      <c r="A39" s="1"/>
      <c r="B39" s="31"/>
      <c r="C39" s="31"/>
      <c r="D39" s="31"/>
      <c r="E39" s="1"/>
      <c r="F39" s="31"/>
      <c r="G39" s="31"/>
      <c r="H39" s="31"/>
      <c r="I39" s="31"/>
      <c r="J39" s="31"/>
      <c r="K39" s="31"/>
      <c r="L39" s="31"/>
      <c r="M39" s="1"/>
      <c r="N39" s="1"/>
      <c r="O39" s="1"/>
      <c r="P39" s="1"/>
      <c r="Q39" s="31"/>
      <c r="R39" s="1"/>
      <c r="S39" s="1"/>
      <c r="T39" s="1"/>
      <c r="U39" s="1"/>
      <c r="V39" s="1"/>
      <c r="W39" s="1"/>
      <c r="X39" s="1"/>
      <c r="Y39" s="128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3">
      <c r="A40" s="1"/>
      <c r="B40" s="31"/>
      <c r="C40" s="31"/>
      <c r="D40" s="31"/>
      <c r="E40" s="1"/>
      <c r="F40" s="31"/>
      <c r="G40" s="31"/>
      <c r="H40" s="31"/>
      <c r="I40" s="31"/>
      <c r="J40" s="31"/>
      <c r="K40" s="31"/>
      <c r="L40" s="31"/>
      <c r="M40" s="1"/>
      <c r="N40" s="1"/>
      <c r="O40" s="1"/>
      <c r="P40" s="1"/>
      <c r="Q40" s="31"/>
      <c r="R40" s="1"/>
      <c r="S40" s="1"/>
      <c r="T40" s="1"/>
      <c r="U40" s="1"/>
      <c r="V40" s="1"/>
      <c r="W40" s="1"/>
      <c r="X40" s="1"/>
      <c r="Y40" s="128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3">
      <c r="A41" s="1"/>
      <c r="B41" s="31"/>
      <c r="C41" s="31"/>
      <c r="D41" s="31"/>
      <c r="E41" s="1"/>
      <c r="F41" s="31"/>
      <c r="G41" s="31"/>
      <c r="H41" s="31"/>
      <c r="I41" s="31"/>
      <c r="J41" s="31"/>
      <c r="K41" s="31"/>
      <c r="L41" s="31"/>
      <c r="M41" s="1"/>
      <c r="N41" s="1"/>
      <c r="O41" s="1"/>
      <c r="P41" s="1"/>
      <c r="Q41" s="31"/>
      <c r="R41" s="1"/>
      <c r="S41" s="1"/>
      <c r="T41" s="1"/>
      <c r="U41" s="1"/>
      <c r="V41" s="1"/>
      <c r="W41" s="1"/>
      <c r="X41" s="1"/>
      <c r="Y41" s="128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3">
      <c r="A42" s="1"/>
      <c r="B42" s="31"/>
      <c r="C42" s="31"/>
      <c r="D42" s="31"/>
      <c r="E42" s="1"/>
      <c r="F42" s="31"/>
      <c r="G42" s="31"/>
      <c r="H42" s="31"/>
      <c r="I42" s="31"/>
      <c r="J42" s="31"/>
      <c r="K42" s="31"/>
      <c r="L42" s="31"/>
      <c r="M42" s="1"/>
      <c r="N42" s="1"/>
      <c r="O42" s="1"/>
      <c r="P42" s="1"/>
      <c r="Q42" s="31"/>
      <c r="R42" s="1"/>
      <c r="S42" s="1"/>
      <c r="T42" s="1"/>
      <c r="U42" s="1"/>
      <c r="V42" s="1"/>
      <c r="W42" s="1"/>
      <c r="X42" s="1"/>
      <c r="Y42" s="128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3">
      <c r="A43" s="1"/>
      <c r="B43" s="31"/>
      <c r="C43" s="31"/>
      <c r="D43" s="31"/>
      <c r="E43" s="1"/>
      <c r="F43" s="31"/>
      <c r="G43" s="31"/>
      <c r="H43" s="31"/>
      <c r="I43" s="31"/>
      <c r="J43" s="31"/>
      <c r="K43" s="31"/>
      <c r="L43" s="31"/>
      <c r="M43" s="1"/>
      <c r="N43" s="1"/>
      <c r="O43" s="1"/>
      <c r="P43" s="1"/>
      <c r="Q43" s="31"/>
      <c r="R43" s="1"/>
      <c r="S43" s="1"/>
      <c r="T43" s="1"/>
      <c r="U43" s="1"/>
      <c r="V43" s="1"/>
      <c r="W43" s="1"/>
      <c r="X43" s="1"/>
      <c r="Y43" s="128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3">
      <c r="A44" s="1"/>
      <c r="B44" s="31"/>
      <c r="C44" s="31"/>
      <c r="D44" s="31"/>
      <c r="E44" s="1"/>
      <c r="F44" s="31"/>
      <c r="G44" s="31"/>
      <c r="H44" s="31"/>
      <c r="I44" s="31"/>
      <c r="J44" s="31"/>
      <c r="K44" s="31"/>
      <c r="L44" s="31"/>
      <c r="M44" s="1"/>
      <c r="N44" s="1"/>
      <c r="O44" s="1"/>
      <c r="P44" s="1"/>
      <c r="Q44" s="31"/>
      <c r="R44" s="1"/>
      <c r="S44" s="1"/>
      <c r="T44" s="1"/>
      <c r="U44" s="1"/>
      <c r="V44" s="1"/>
      <c r="W44" s="1"/>
      <c r="X44" s="1"/>
      <c r="Y44" s="128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3">
      <c r="A45" s="1"/>
      <c r="B45" s="31"/>
      <c r="C45" s="31"/>
      <c r="D45" s="31"/>
      <c r="E45" s="1"/>
      <c r="F45" s="31"/>
      <c r="G45" s="31"/>
      <c r="H45" s="31"/>
      <c r="I45" s="31"/>
      <c r="J45" s="31"/>
      <c r="K45" s="31"/>
      <c r="L45" s="31"/>
      <c r="M45" s="1"/>
      <c r="N45" s="1"/>
      <c r="O45" s="1"/>
      <c r="P45" s="1"/>
      <c r="Q45" s="31"/>
      <c r="R45" s="1"/>
      <c r="S45" s="1"/>
      <c r="T45" s="1"/>
      <c r="U45" s="1"/>
      <c r="V45" s="1"/>
      <c r="W45" s="1"/>
      <c r="X45" s="1"/>
      <c r="Y45" s="128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3">
      <c r="A46" s="1"/>
      <c r="B46" s="31"/>
      <c r="C46" s="31"/>
      <c r="D46" s="31"/>
      <c r="E46" s="1"/>
      <c r="F46" s="31"/>
      <c r="G46" s="31"/>
      <c r="H46" s="31"/>
      <c r="I46" s="31"/>
      <c r="J46" s="31"/>
      <c r="K46" s="31"/>
      <c r="L46" s="31"/>
      <c r="M46" s="1"/>
      <c r="N46" s="1"/>
      <c r="O46" s="1"/>
      <c r="P46" s="1"/>
      <c r="Q46" s="31"/>
      <c r="R46" s="1"/>
      <c r="S46" s="1"/>
      <c r="T46" s="1"/>
      <c r="U46" s="1"/>
      <c r="V46" s="1"/>
      <c r="W46" s="1"/>
      <c r="X46" s="1"/>
      <c r="Y46" s="128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3">
      <c r="A47" s="1"/>
      <c r="B47" s="31"/>
      <c r="C47" s="31"/>
      <c r="D47" s="31"/>
      <c r="E47" s="1"/>
      <c r="F47" s="31"/>
      <c r="G47" s="31"/>
      <c r="H47" s="31"/>
      <c r="I47" s="31"/>
      <c r="J47" s="31"/>
      <c r="K47" s="31"/>
      <c r="L47" s="31"/>
      <c r="M47" s="1"/>
      <c r="N47" s="1"/>
      <c r="O47" s="1"/>
      <c r="P47" s="1"/>
      <c r="Q47" s="31"/>
      <c r="R47" s="1"/>
      <c r="S47" s="1"/>
      <c r="T47" s="1"/>
      <c r="U47" s="1"/>
      <c r="V47" s="1"/>
      <c r="W47" s="1"/>
      <c r="X47" s="1"/>
      <c r="Y47" s="128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">
      <c r="A48" s="1"/>
      <c r="B48" s="31"/>
      <c r="C48" s="31"/>
      <c r="D48" s="31"/>
      <c r="E48" s="1"/>
      <c r="F48" s="31"/>
      <c r="G48" s="31"/>
      <c r="H48" s="31"/>
      <c r="I48" s="31"/>
      <c r="J48" s="31"/>
      <c r="K48" s="31"/>
      <c r="L48" s="31"/>
      <c r="M48" s="1"/>
      <c r="N48" s="1"/>
      <c r="O48" s="1"/>
      <c r="P48" s="1"/>
      <c r="Q48" s="31"/>
      <c r="R48" s="1"/>
      <c r="S48" s="1"/>
      <c r="T48" s="1"/>
      <c r="U48" s="1"/>
      <c r="V48" s="1"/>
      <c r="W48" s="1"/>
      <c r="X48" s="1"/>
      <c r="Y48" s="128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">
      <c r="A49" s="1"/>
      <c r="B49" s="31"/>
      <c r="C49" s="31"/>
      <c r="D49" s="31"/>
      <c r="E49" s="1"/>
      <c r="F49" s="31"/>
      <c r="G49" s="31"/>
      <c r="H49" s="31"/>
      <c r="I49" s="31"/>
      <c r="J49" s="31"/>
      <c r="K49" s="31"/>
      <c r="L49" s="31"/>
      <c r="M49" s="1"/>
      <c r="N49" s="1"/>
      <c r="O49" s="1"/>
      <c r="P49" s="1"/>
      <c r="Q49" s="31"/>
      <c r="R49" s="1"/>
      <c r="S49" s="1"/>
      <c r="T49" s="1"/>
      <c r="U49" s="1"/>
      <c r="V49" s="1"/>
      <c r="W49" s="1"/>
      <c r="X49" s="1"/>
      <c r="Y49" s="128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">
      <c r="A50" s="1"/>
      <c r="B50" s="31"/>
      <c r="C50" s="31"/>
      <c r="D50" s="31"/>
      <c r="E50" s="1"/>
      <c r="F50" s="31"/>
      <c r="G50" s="31"/>
      <c r="H50" s="31"/>
      <c r="I50" s="31"/>
      <c r="J50" s="31"/>
      <c r="K50" s="31"/>
      <c r="L50" s="31"/>
      <c r="M50" s="1"/>
      <c r="N50" s="1"/>
      <c r="O50" s="1"/>
      <c r="P50" s="1"/>
      <c r="Q50" s="31"/>
      <c r="R50" s="1"/>
      <c r="S50" s="1"/>
      <c r="T50" s="1"/>
      <c r="U50" s="1"/>
      <c r="V50" s="1"/>
      <c r="W50" s="1"/>
      <c r="X50" s="1"/>
      <c r="Y50" s="128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">
      <c r="A51" s="1"/>
      <c r="B51" s="31"/>
      <c r="C51" s="31"/>
      <c r="D51" s="31"/>
      <c r="E51" s="1"/>
      <c r="F51" s="31"/>
      <c r="G51" s="31"/>
      <c r="H51" s="31"/>
      <c r="I51" s="31"/>
      <c r="J51" s="31"/>
      <c r="K51" s="31"/>
      <c r="L51" s="31"/>
      <c r="M51" s="1"/>
      <c r="N51" s="1"/>
      <c r="O51" s="1"/>
      <c r="P51" s="1"/>
      <c r="Q51" s="31"/>
      <c r="R51" s="1"/>
      <c r="S51" s="1"/>
      <c r="T51" s="1"/>
      <c r="U51" s="1"/>
      <c r="V51" s="1"/>
      <c r="W51" s="1"/>
      <c r="X51" s="1"/>
      <c r="Y51" s="128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">
      <c r="A52" s="1"/>
      <c r="B52" s="31"/>
      <c r="C52" s="31"/>
      <c r="D52" s="31"/>
      <c r="E52" s="1"/>
      <c r="F52" s="31"/>
      <c r="G52" s="31"/>
      <c r="H52" s="31"/>
      <c r="I52" s="31"/>
      <c r="J52" s="31"/>
      <c r="K52" s="31"/>
      <c r="L52" s="31"/>
      <c r="M52" s="1"/>
      <c r="N52" s="1"/>
      <c r="O52" s="1"/>
      <c r="P52" s="1"/>
      <c r="Q52" s="31"/>
      <c r="R52" s="1"/>
      <c r="S52" s="1"/>
      <c r="T52" s="1"/>
      <c r="U52" s="1"/>
      <c r="V52" s="1"/>
      <c r="W52" s="1"/>
      <c r="X52" s="1"/>
      <c r="Y52" s="128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">
      <c r="A53" s="1"/>
      <c r="B53" s="31"/>
      <c r="C53" s="31"/>
      <c r="D53" s="31"/>
      <c r="E53" s="1"/>
      <c r="F53" s="31"/>
      <c r="G53" s="31"/>
      <c r="H53" s="31"/>
      <c r="I53" s="31"/>
      <c r="J53" s="31"/>
      <c r="K53" s="31"/>
      <c r="L53" s="31"/>
      <c r="M53" s="1"/>
      <c r="N53" s="1"/>
      <c r="O53" s="1"/>
      <c r="P53" s="1"/>
      <c r="Q53" s="31"/>
      <c r="R53" s="1"/>
      <c r="S53" s="1"/>
      <c r="T53" s="1"/>
      <c r="U53" s="1"/>
      <c r="V53" s="1"/>
      <c r="W53" s="1"/>
      <c r="X53" s="1"/>
      <c r="Y53" s="128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">
      <c r="A54" s="1"/>
      <c r="B54" s="31"/>
      <c r="C54" s="31"/>
      <c r="D54" s="31"/>
      <c r="E54" s="1"/>
      <c r="F54" s="31"/>
      <c r="G54" s="31"/>
      <c r="H54" s="31"/>
      <c r="I54" s="31"/>
      <c r="J54" s="31"/>
      <c r="K54" s="31"/>
      <c r="L54" s="31"/>
      <c r="M54" s="1"/>
      <c r="N54" s="1"/>
      <c r="O54" s="1"/>
      <c r="P54" s="1"/>
      <c r="Q54" s="31"/>
      <c r="R54" s="1"/>
      <c r="S54" s="1"/>
      <c r="T54" s="1"/>
      <c r="U54" s="1"/>
      <c r="V54" s="1"/>
      <c r="W54" s="1"/>
      <c r="X54" s="1"/>
      <c r="Y54" s="128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">
      <c r="A55" s="1"/>
      <c r="B55" s="31"/>
      <c r="C55" s="31"/>
      <c r="D55" s="31"/>
      <c r="E55" s="1"/>
      <c r="F55" s="31"/>
      <c r="G55" s="31"/>
      <c r="H55" s="31"/>
      <c r="I55" s="31"/>
      <c r="J55" s="31"/>
      <c r="K55" s="31"/>
      <c r="L55" s="31"/>
      <c r="M55" s="1"/>
      <c r="N55" s="1"/>
      <c r="O55" s="1"/>
      <c r="P55" s="1"/>
      <c r="Q55" s="31"/>
      <c r="R55" s="1"/>
      <c r="S55" s="1"/>
      <c r="T55" s="1"/>
      <c r="U55" s="1"/>
      <c r="V55" s="1"/>
      <c r="W55" s="1"/>
      <c r="X55" s="1"/>
      <c r="Y55" s="128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">
      <c r="A56" s="1"/>
      <c r="B56" s="31"/>
      <c r="C56" s="31"/>
      <c r="D56" s="31"/>
      <c r="E56" s="1"/>
      <c r="F56" s="31"/>
      <c r="G56" s="31"/>
      <c r="H56" s="31"/>
      <c r="I56" s="31"/>
      <c r="J56" s="31"/>
      <c r="K56" s="31"/>
      <c r="L56" s="31"/>
      <c r="M56" s="1"/>
      <c r="N56" s="1"/>
      <c r="O56" s="1"/>
      <c r="P56" s="1"/>
      <c r="Q56" s="31"/>
      <c r="R56" s="1"/>
      <c r="S56" s="1"/>
      <c r="T56" s="1"/>
      <c r="U56" s="1"/>
      <c r="V56" s="1"/>
      <c r="W56" s="1"/>
      <c r="X56" s="1"/>
      <c r="Y56" s="128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">
      <c r="A57" s="1"/>
      <c r="B57" s="31"/>
      <c r="C57" s="31"/>
      <c r="D57" s="31"/>
      <c r="E57" s="1"/>
      <c r="F57" s="31"/>
      <c r="G57" s="31"/>
      <c r="H57" s="31"/>
      <c r="I57" s="31"/>
      <c r="J57" s="31"/>
      <c r="K57" s="31"/>
      <c r="L57" s="31"/>
      <c r="M57" s="1"/>
      <c r="N57" s="1"/>
      <c r="O57" s="1"/>
      <c r="P57" s="1"/>
      <c r="Q57" s="31"/>
      <c r="R57" s="1"/>
      <c r="S57" s="1"/>
      <c r="T57" s="1"/>
      <c r="U57" s="1"/>
      <c r="V57" s="1"/>
      <c r="W57" s="1"/>
      <c r="X57" s="1"/>
      <c r="Y57" s="128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">
      <c r="A58" s="1"/>
      <c r="B58" s="31"/>
      <c r="C58" s="31"/>
      <c r="D58" s="31"/>
      <c r="E58" s="1"/>
      <c r="F58" s="31"/>
      <c r="G58" s="31"/>
      <c r="H58" s="31"/>
      <c r="I58" s="31"/>
      <c r="J58" s="31"/>
      <c r="K58" s="31"/>
      <c r="L58" s="31"/>
      <c r="M58" s="1"/>
      <c r="N58" s="1"/>
      <c r="O58" s="1"/>
      <c r="P58" s="1"/>
      <c r="Q58" s="31"/>
      <c r="R58" s="1"/>
      <c r="S58" s="1"/>
      <c r="T58" s="1"/>
      <c r="U58" s="1"/>
      <c r="V58" s="1"/>
      <c r="W58" s="1"/>
      <c r="X58" s="1"/>
      <c r="Y58" s="128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3">
      <c r="A59" s="112"/>
      <c r="B59" s="31"/>
      <c r="C59" s="31"/>
      <c r="D59" s="31"/>
      <c r="E59" s="1"/>
      <c r="F59" s="31"/>
      <c r="G59" s="31"/>
      <c r="H59" s="31"/>
      <c r="I59" s="31"/>
      <c r="J59" s="31"/>
      <c r="K59" s="31"/>
      <c r="L59" s="31"/>
      <c r="M59" s="1"/>
      <c r="N59" s="1"/>
      <c r="O59" s="1"/>
      <c r="P59" s="1"/>
      <c r="Q59" s="31"/>
      <c r="R59" s="1"/>
      <c r="S59" s="1"/>
      <c r="T59" s="1"/>
      <c r="U59" s="1"/>
      <c r="V59" s="1"/>
      <c r="W59" s="1"/>
      <c r="X59" s="1"/>
      <c r="Y59" s="128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">
      <c r="A60" s="1"/>
      <c r="B60" s="31"/>
      <c r="C60" s="31"/>
      <c r="D60" s="31"/>
      <c r="E60" s="1"/>
      <c r="F60" s="31"/>
      <c r="G60" s="31"/>
      <c r="H60" s="31"/>
      <c r="I60" s="31"/>
      <c r="J60" s="31"/>
      <c r="K60" s="31"/>
      <c r="L60" s="31"/>
      <c r="M60" s="1"/>
      <c r="N60" s="1"/>
      <c r="O60" s="1"/>
      <c r="P60" s="1"/>
      <c r="Q60" s="31"/>
      <c r="R60" s="1"/>
      <c r="S60" s="1"/>
      <c r="T60" s="1"/>
      <c r="U60" s="1"/>
      <c r="V60" s="1"/>
      <c r="W60" s="1"/>
      <c r="X60" s="1"/>
      <c r="Y60" s="128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3">
      <c r="A61" s="1"/>
      <c r="B61" s="31"/>
      <c r="C61" s="31"/>
      <c r="D61" s="31"/>
      <c r="E61" s="1"/>
      <c r="F61" s="31"/>
      <c r="G61" s="31"/>
      <c r="H61" s="31"/>
      <c r="I61" s="31"/>
      <c r="J61" s="31"/>
      <c r="K61" s="31"/>
      <c r="L61" s="31"/>
      <c r="M61" s="1"/>
      <c r="N61" s="1"/>
      <c r="O61" s="1"/>
      <c r="P61" s="1"/>
      <c r="Q61" s="31"/>
      <c r="R61" s="1"/>
      <c r="S61" s="1"/>
      <c r="T61" s="1"/>
      <c r="U61" s="1"/>
      <c r="V61" s="1"/>
      <c r="W61" s="1"/>
      <c r="X61" s="1"/>
      <c r="Y61" s="128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3">
      <c r="A62" s="1"/>
      <c r="B62" s="31"/>
      <c r="C62" s="31"/>
      <c r="D62" s="31"/>
      <c r="E62" s="1"/>
      <c r="F62" s="31"/>
      <c r="G62" s="31"/>
      <c r="H62" s="31"/>
      <c r="I62" s="31"/>
      <c r="J62" s="31"/>
      <c r="K62" s="31"/>
      <c r="L62" s="31"/>
      <c r="M62" s="1"/>
      <c r="N62" s="1"/>
      <c r="O62" s="1"/>
      <c r="P62" s="1"/>
      <c r="Q62" s="31"/>
      <c r="R62" s="1"/>
      <c r="S62" s="1"/>
      <c r="T62" s="1"/>
      <c r="U62" s="1"/>
      <c r="V62" s="1"/>
      <c r="W62" s="1"/>
      <c r="X62" s="1"/>
      <c r="Y62" s="128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3">
      <c r="A63" s="1"/>
      <c r="B63" s="31"/>
      <c r="C63" s="31"/>
      <c r="D63" s="31"/>
      <c r="E63" s="1"/>
      <c r="F63" s="31"/>
      <c r="G63" s="31"/>
      <c r="H63" s="31"/>
      <c r="I63" s="31"/>
      <c r="J63" s="31"/>
      <c r="K63" s="31"/>
      <c r="L63" s="31"/>
      <c r="M63" s="1"/>
      <c r="N63" s="1"/>
      <c r="O63" s="1"/>
      <c r="P63" s="1"/>
      <c r="Q63" s="31"/>
      <c r="R63" s="1"/>
      <c r="S63" s="1"/>
      <c r="T63" s="1"/>
      <c r="U63" s="1"/>
      <c r="V63" s="1"/>
      <c r="W63" s="1"/>
      <c r="X63" s="1"/>
      <c r="Y63" s="128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">
      <c r="A64" s="1"/>
      <c r="B64" s="31"/>
      <c r="C64" s="31"/>
      <c r="D64" s="31"/>
      <c r="E64" s="1"/>
      <c r="F64" s="31"/>
      <c r="G64" s="31"/>
      <c r="H64" s="31"/>
      <c r="I64" s="31"/>
      <c r="J64" s="31"/>
      <c r="K64" s="31"/>
      <c r="L64" s="31"/>
      <c r="M64" s="1"/>
      <c r="N64" s="1"/>
      <c r="O64" s="1"/>
      <c r="P64" s="1"/>
      <c r="Q64" s="31"/>
      <c r="R64" s="1"/>
      <c r="S64" s="1"/>
      <c r="T64" s="1"/>
      <c r="U64" s="1"/>
      <c r="V64" s="1"/>
      <c r="W64" s="1"/>
      <c r="X64" s="1"/>
      <c r="Y64" s="128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">
      <c r="A65" s="1"/>
      <c r="B65" s="31"/>
      <c r="C65" s="31"/>
      <c r="D65" s="31"/>
      <c r="E65" s="1"/>
      <c r="F65" s="31"/>
      <c r="G65" s="31"/>
      <c r="H65" s="31"/>
      <c r="I65" s="31"/>
      <c r="J65" s="31"/>
      <c r="K65" s="31"/>
      <c r="L65" s="31"/>
      <c r="M65" s="1"/>
      <c r="N65" s="1"/>
      <c r="O65" s="1"/>
      <c r="P65" s="1"/>
      <c r="Q65" s="31"/>
      <c r="R65" s="1"/>
      <c r="S65" s="1"/>
      <c r="T65" s="1"/>
      <c r="U65" s="1"/>
      <c r="V65" s="1"/>
      <c r="W65" s="1"/>
      <c r="X65" s="1"/>
      <c r="Y65" s="128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3">
      <c r="A66" s="1"/>
      <c r="B66" s="31"/>
      <c r="C66" s="31"/>
      <c r="D66" s="31"/>
      <c r="E66" s="1"/>
      <c r="F66" s="31"/>
      <c r="G66" s="31"/>
      <c r="H66" s="31"/>
      <c r="I66" s="31"/>
      <c r="J66" s="31"/>
      <c r="K66" s="31"/>
      <c r="L66" s="31"/>
      <c r="M66" s="1"/>
      <c r="N66" s="1"/>
      <c r="O66" s="1"/>
      <c r="P66" s="1"/>
      <c r="Q66" s="31"/>
      <c r="R66" s="1"/>
      <c r="S66" s="1"/>
      <c r="T66" s="1"/>
      <c r="U66" s="1"/>
      <c r="V66" s="1"/>
      <c r="W66" s="1"/>
      <c r="X66" s="1"/>
      <c r="Y66" s="128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3">
      <c r="A67" s="1"/>
      <c r="B67" s="31"/>
      <c r="C67" s="31"/>
      <c r="D67" s="31"/>
      <c r="E67" s="1"/>
      <c r="F67" s="31"/>
      <c r="G67" s="31"/>
      <c r="H67" s="31"/>
      <c r="I67" s="31"/>
      <c r="J67" s="31"/>
      <c r="K67" s="31"/>
      <c r="L67" s="31"/>
      <c r="M67" s="1"/>
      <c r="N67" s="1"/>
      <c r="O67" s="1"/>
      <c r="P67" s="1"/>
      <c r="Q67" s="31"/>
      <c r="R67" s="1"/>
      <c r="S67" s="1"/>
      <c r="T67" s="1"/>
      <c r="U67" s="1"/>
      <c r="V67" s="1"/>
      <c r="W67" s="1"/>
      <c r="X67" s="1"/>
      <c r="Y67" s="12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3">
      <c r="A68" s="1"/>
      <c r="B68" s="31"/>
      <c r="C68" s="31"/>
      <c r="D68" s="31"/>
      <c r="E68" s="1"/>
      <c r="F68" s="31"/>
      <c r="G68" s="31"/>
      <c r="H68" s="31"/>
      <c r="I68" s="31"/>
      <c r="J68" s="31"/>
      <c r="K68" s="31"/>
      <c r="L68" s="31"/>
      <c r="M68" s="1"/>
      <c r="N68" s="1"/>
      <c r="O68" s="1"/>
      <c r="P68" s="1"/>
      <c r="Q68" s="31"/>
      <c r="R68" s="1"/>
      <c r="S68" s="1"/>
      <c r="T68" s="1"/>
      <c r="U68" s="1"/>
      <c r="V68" s="1"/>
      <c r="W68" s="1"/>
      <c r="X68" s="1"/>
      <c r="Y68" s="128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">
      <c r="A69" s="1"/>
      <c r="B69" s="31"/>
      <c r="C69" s="31"/>
      <c r="D69" s="31"/>
      <c r="E69" s="1"/>
      <c r="F69" s="31"/>
      <c r="G69" s="31"/>
      <c r="H69" s="31"/>
      <c r="I69" s="31"/>
      <c r="J69" s="31"/>
      <c r="K69" s="31"/>
      <c r="L69" s="31"/>
      <c r="M69" s="1"/>
      <c r="N69" s="1"/>
      <c r="O69" s="1"/>
      <c r="P69" s="1"/>
      <c r="Q69" s="31"/>
      <c r="R69" s="1"/>
      <c r="S69" s="1"/>
      <c r="T69" s="1"/>
      <c r="U69" s="1"/>
      <c r="V69" s="1"/>
      <c r="W69" s="1"/>
      <c r="X69" s="1"/>
      <c r="Y69" s="128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3">
      <c r="A70" s="1"/>
      <c r="B70" s="31"/>
      <c r="C70" s="31"/>
      <c r="D70" s="31"/>
      <c r="E70" s="1"/>
      <c r="F70" s="31"/>
      <c r="G70" s="31"/>
      <c r="H70" s="31"/>
      <c r="I70" s="31"/>
      <c r="J70" s="31"/>
      <c r="K70" s="31"/>
      <c r="L70" s="31"/>
      <c r="M70" s="1"/>
      <c r="N70" s="1"/>
      <c r="O70" s="1"/>
      <c r="P70" s="1"/>
      <c r="Q70" s="31"/>
      <c r="R70" s="1"/>
      <c r="S70" s="1"/>
      <c r="T70" s="1"/>
      <c r="U70" s="1"/>
      <c r="V70" s="1"/>
      <c r="W70" s="1"/>
      <c r="X70" s="1"/>
      <c r="Y70" s="128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3">
      <c r="A71" s="1"/>
      <c r="B71" s="31"/>
      <c r="C71" s="31"/>
      <c r="D71" s="31"/>
      <c r="E71" s="1"/>
      <c r="F71" s="31"/>
      <c r="G71" s="31"/>
      <c r="H71" s="31"/>
      <c r="I71" s="31"/>
      <c r="J71" s="31"/>
      <c r="K71" s="31"/>
      <c r="L71" s="31"/>
      <c r="M71" s="1"/>
      <c r="N71" s="1"/>
      <c r="O71" s="1"/>
      <c r="P71" s="1"/>
      <c r="Q71" s="31"/>
      <c r="R71" s="1"/>
      <c r="S71" s="1"/>
      <c r="T71" s="1"/>
      <c r="U71" s="1"/>
      <c r="V71" s="1"/>
      <c r="W71" s="1"/>
      <c r="X71" s="1"/>
      <c r="Y71" s="128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3">
      <c r="A72" s="1"/>
      <c r="B72" s="31"/>
      <c r="C72" s="31"/>
      <c r="D72" s="31"/>
      <c r="E72" s="1"/>
      <c r="F72" s="31"/>
      <c r="G72" s="31"/>
      <c r="H72" s="31"/>
      <c r="I72" s="31"/>
      <c r="J72" s="31"/>
      <c r="K72" s="31"/>
      <c r="L72" s="31"/>
      <c r="M72" s="1"/>
      <c r="N72" s="1"/>
      <c r="O72" s="1"/>
      <c r="P72" s="1"/>
      <c r="Q72" s="31"/>
      <c r="R72" s="1"/>
      <c r="S72" s="1"/>
      <c r="T72" s="1"/>
      <c r="U72" s="1"/>
      <c r="V72" s="1"/>
      <c r="W72" s="1"/>
      <c r="X72" s="1"/>
      <c r="Y72" s="128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3">
      <c r="A73" s="1"/>
      <c r="B73" s="31"/>
      <c r="C73" s="31"/>
      <c r="D73" s="31"/>
      <c r="E73" s="1"/>
      <c r="F73" s="31"/>
      <c r="G73" s="31"/>
      <c r="H73" s="31"/>
      <c r="I73" s="31"/>
      <c r="J73" s="31"/>
      <c r="K73" s="31"/>
      <c r="L73" s="31"/>
      <c r="M73" s="1"/>
      <c r="N73" s="1"/>
      <c r="O73" s="1"/>
      <c r="P73" s="1"/>
      <c r="Q73" s="31"/>
      <c r="R73" s="1"/>
      <c r="S73" s="1"/>
      <c r="T73" s="1"/>
      <c r="U73" s="1"/>
      <c r="V73" s="1"/>
      <c r="W73" s="1"/>
      <c r="X73" s="1"/>
      <c r="Y73" s="128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3">
      <c r="A74" s="1"/>
      <c r="B74" s="31"/>
      <c r="C74" s="31"/>
      <c r="D74" s="31"/>
      <c r="E74" s="1"/>
      <c r="F74" s="31"/>
      <c r="G74" s="31"/>
      <c r="H74" s="31"/>
      <c r="I74" s="31"/>
      <c r="J74" s="31"/>
      <c r="K74" s="31"/>
      <c r="L74" s="31"/>
      <c r="M74" s="1"/>
      <c r="N74" s="1"/>
      <c r="O74" s="1"/>
      <c r="P74" s="1"/>
      <c r="Q74" s="31"/>
      <c r="R74" s="1"/>
      <c r="S74" s="1"/>
      <c r="T74" s="1"/>
      <c r="U74" s="1"/>
      <c r="V74" s="1"/>
      <c r="W74" s="1"/>
      <c r="X74" s="1"/>
      <c r="Y74" s="128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3">
      <c r="A75" s="1"/>
      <c r="B75" s="31"/>
      <c r="C75" s="31"/>
      <c r="D75" s="31"/>
      <c r="E75" s="1"/>
      <c r="F75" s="31"/>
      <c r="G75" s="31"/>
      <c r="H75" s="31"/>
      <c r="I75" s="31"/>
      <c r="J75" s="31"/>
      <c r="K75" s="31"/>
      <c r="L75" s="31"/>
      <c r="M75" s="1"/>
      <c r="N75" s="1"/>
      <c r="O75" s="1"/>
      <c r="P75" s="1"/>
      <c r="Q75" s="31"/>
      <c r="R75" s="1"/>
      <c r="S75" s="1"/>
      <c r="T75" s="1"/>
      <c r="U75" s="1"/>
      <c r="V75" s="1"/>
      <c r="W75" s="1"/>
      <c r="X75" s="1"/>
      <c r="Y75" s="128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3">
      <c r="A76" s="1"/>
      <c r="B76" s="31"/>
      <c r="C76" s="31"/>
      <c r="D76" s="31"/>
      <c r="E76" s="1"/>
      <c r="F76" s="31"/>
      <c r="G76" s="31"/>
      <c r="H76" s="31"/>
      <c r="I76" s="31"/>
      <c r="J76" s="31"/>
      <c r="K76" s="31"/>
      <c r="L76" s="31"/>
      <c r="M76" s="1"/>
      <c r="N76" s="1"/>
      <c r="O76" s="1"/>
      <c r="P76" s="1"/>
      <c r="Q76" s="31"/>
      <c r="R76" s="1"/>
      <c r="S76" s="1"/>
      <c r="T76" s="1"/>
      <c r="U76" s="1"/>
      <c r="V76" s="1"/>
      <c r="W76" s="1"/>
      <c r="X76" s="1"/>
      <c r="Y76" s="128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3">
      <c r="A77" s="1"/>
      <c r="B77" s="31"/>
      <c r="C77" s="31"/>
      <c r="D77" s="31"/>
      <c r="E77" s="1"/>
      <c r="F77" s="31"/>
      <c r="G77" s="31"/>
      <c r="H77" s="31"/>
      <c r="I77" s="31"/>
      <c r="J77" s="31"/>
      <c r="K77" s="31"/>
      <c r="L77" s="31"/>
      <c r="M77" s="1"/>
      <c r="N77" s="1"/>
      <c r="O77" s="1"/>
      <c r="P77" s="1"/>
      <c r="Q77" s="31"/>
      <c r="R77" s="1"/>
      <c r="S77" s="1"/>
      <c r="T77" s="1"/>
      <c r="U77" s="1"/>
      <c r="V77" s="1"/>
      <c r="W77" s="1"/>
      <c r="X77" s="1"/>
      <c r="Y77" s="128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3">
      <c r="A78" s="1"/>
      <c r="B78" s="31"/>
      <c r="C78" s="31"/>
      <c r="D78" s="31"/>
      <c r="E78" s="1"/>
      <c r="F78" s="31"/>
      <c r="G78" s="31"/>
      <c r="H78" s="31"/>
      <c r="I78" s="31"/>
      <c r="J78" s="31"/>
      <c r="K78" s="31"/>
      <c r="L78" s="31"/>
      <c r="M78" s="1"/>
      <c r="N78" s="1"/>
      <c r="O78" s="1"/>
      <c r="P78" s="1"/>
      <c r="Q78" s="31"/>
      <c r="R78" s="1"/>
      <c r="S78" s="1"/>
      <c r="T78" s="1"/>
      <c r="U78" s="1"/>
      <c r="V78" s="1"/>
      <c r="W78" s="1"/>
      <c r="X78" s="1"/>
      <c r="Y78" s="128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3">
      <c r="A79" s="1"/>
      <c r="B79" s="31"/>
      <c r="C79" s="31"/>
      <c r="D79" s="31"/>
      <c r="E79" s="1"/>
      <c r="F79" s="31"/>
      <c r="G79" s="31"/>
      <c r="H79" s="31"/>
      <c r="I79" s="31"/>
      <c r="J79" s="31"/>
      <c r="K79" s="31"/>
      <c r="L79" s="31"/>
      <c r="M79" s="1"/>
      <c r="N79" s="1"/>
      <c r="O79" s="1"/>
      <c r="P79" s="1"/>
      <c r="Q79" s="31"/>
      <c r="R79" s="1"/>
      <c r="S79" s="1"/>
      <c r="T79" s="1"/>
      <c r="U79" s="1"/>
      <c r="V79" s="1"/>
      <c r="W79" s="1"/>
      <c r="X79" s="1"/>
      <c r="Y79" s="128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3">
      <c r="A80" s="1"/>
      <c r="B80" s="31"/>
      <c r="C80" s="31"/>
      <c r="D80" s="31"/>
      <c r="E80" s="1"/>
      <c r="F80" s="31"/>
      <c r="G80" s="31"/>
      <c r="H80" s="31"/>
      <c r="I80" s="31"/>
      <c r="J80" s="31"/>
      <c r="K80" s="31"/>
      <c r="L80" s="31"/>
      <c r="M80" s="1"/>
      <c r="N80" s="1"/>
      <c r="O80" s="1"/>
      <c r="P80" s="1"/>
      <c r="Q80" s="31"/>
      <c r="R80" s="1"/>
      <c r="S80" s="1"/>
      <c r="T80" s="1"/>
      <c r="U80" s="1"/>
      <c r="V80" s="1"/>
      <c r="W80" s="1"/>
      <c r="X80" s="1"/>
      <c r="Y80" s="128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3">
      <c r="A81" s="1"/>
      <c r="B81" s="31"/>
      <c r="C81" s="31"/>
      <c r="D81" s="31"/>
      <c r="E81" s="1"/>
      <c r="F81" s="31"/>
      <c r="G81" s="31"/>
      <c r="H81" s="31"/>
      <c r="I81" s="31"/>
      <c r="J81" s="31"/>
      <c r="K81" s="31"/>
      <c r="L81" s="31"/>
      <c r="M81" s="1"/>
      <c r="N81" s="1"/>
      <c r="O81" s="1"/>
      <c r="P81" s="1"/>
      <c r="Q81" s="31"/>
      <c r="R81" s="1"/>
      <c r="S81" s="1"/>
      <c r="T81" s="1"/>
      <c r="U81" s="1"/>
      <c r="V81" s="1"/>
      <c r="W81" s="1"/>
      <c r="X81" s="1"/>
      <c r="Y81" s="128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3">
      <c r="A82" s="1"/>
      <c r="B82" s="31"/>
      <c r="C82" s="31"/>
      <c r="D82" s="31"/>
      <c r="E82" s="1"/>
      <c r="F82" s="31"/>
      <c r="G82" s="31"/>
      <c r="H82" s="31"/>
      <c r="I82" s="31"/>
      <c r="J82" s="31"/>
      <c r="K82" s="31"/>
      <c r="L82" s="31"/>
      <c r="M82" s="1"/>
      <c r="N82" s="1"/>
      <c r="O82" s="1"/>
      <c r="P82" s="1"/>
      <c r="Q82" s="31"/>
      <c r="R82" s="1"/>
      <c r="S82" s="1"/>
      <c r="T82" s="1"/>
      <c r="U82" s="1"/>
      <c r="V82" s="1"/>
      <c r="W82" s="1"/>
      <c r="X82" s="1"/>
      <c r="Y82" s="128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3">
      <c r="A83" s="1"/>
      <c r="B83" s="31"/>
      <c r="C83" s="31"/>
      <c r="D83" s="31"/>
      <c r="E83" s="1"/>
      <c r="F83" s="31"/>
      <c r="G83" s="31"/>
      <c r="H83" s="31"/>
      <c r="I83" s="31"/>
      <c r="J83" s="31"/>
      <c r="K83" s="31"/>
      <c r="L83" s="31"/>
      <c r="M83" s="1"/>
      <c r="N83" s="1"/>
      <c r="O83" s="1"/>
      <c r="P83" s="1"/>
      <c r="Q83" s="31"/>
      <c r="R83" s="1"/>
      <c r="S83" s="1"/>
      <c r="T83" s="1"/>
      <c r="U83" s="1"/>
      <c r="V83" s="1"/>
      <c r="W83" s="1"/>
      <c r="X83" s="1"/>
      <c r="Y83" s="128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3">
      <c r="A84" s="1"/>
      <c r="B84" s="31"/>
      <c r="C84" s="31"/>
      <c r="D84" s="31"/>
      <c r="E84" s="1"/>
      <c r="F84" s="31"/>
      <c r="G84" s="31"/>
      <c r="H84" s="31"/>
      <c r="I84" s="31"/>
      <c r="J84" s="31"/>
      <c r="K84" s="31"/>
      <c r="L84" s="31"/>
      <c r="M84" s="1"/>
      <c r="N84" s="1"/>
      <c r="O84" s="1"/>
      <c r="P84" s="1"/>
      <c r="Q84" s="31"/>
      <c r="R84" s="1"/>
      <c r="S84" s="1"/>
      <c r="T84" s="1"/>
      <c r="U84" s="1"/>
      <c r="V84" s="1"/>
      <c r="W84" s="1"/>
      <c r="X84" s="1"/>
      <c r="Y84" s="128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3">
      <c r="A85" s="1"/>
      <c r="B85" s="31"/>
      <c r="C85" s="31"/>
      <c r="D85" s="31"/>
      <c r="E85" s="1"/>
      <c r="F85" s="31"/>
      <c r="G85" s="31"/>
      <c r="H85" s="31"/>
      <c r="I85" s="31"/>
      <c r="J85" s="31"/>
      <c r="K85" s="31"/>
      <c r="L85" s="31"/>
      <c r="M85" s="1"/>
      <c r="N85" s="1"/>
      <c r="O85" s="1"/>
      <c r="P85" s="1"/>
      <c r="Q85" s="31"/>
      <c r="R85" s="1"/>
      <c r="S85" s="1"/>
      <c r="T85" s="1"/>
      <c r="U85" s="1"/>
      <c r="V85" s="1"/>
      <c r="W85" s="1"/>
      <c r="X85" s="1"/>
      <c r="Y85" s="128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3">
      <c r="A86" s="1"/>
      <c r="B86" s="31"/>
      <c r="C86" s="31"/>
      <c r="D86" s="31"/>
      <c r="E86" s="1"/>
      <c r="F86" s="31"/>
      <c r="G86" s="31"/>
      <c r="H86" s="31"/>
      <c r="I86" s="31"/>
      <c r="J86" s="31"/>
      <c r="K86" s="31"/>
      <c r="L86" s="31"/>
      <c r="M86" s="1"/>
      <c r="N86" s="1"/>
      <c r="O86" s="1"/>
      <c r="P86" s="1"/>
      <c r="Q86" s="31"/>
      <c r="R86" s="1"/>
      <c r="S86" s="1"/>
      <c r="T86" s="1"/>
      <c r="U86" s="1"/>
      <c r="V86" s="1"/>
      <c r="W86" s="1"/>
      <c r="X86" s="1"/>
      <c r="Y86" s="128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3">
      <c r="A87" s="1"/>
      <c r="B87" s="31"/>
      <c r="C87" s="31"/>
      <c r="D87" s="31"/>
      <c r="E87" s="1"/>
      <c r="F87" s="31"/>
      <c r="G87" s="31"/>
      <c r="H87" s="31"/>
      <c r="I87" s="31"/>
      <c r="J87" s="31"/>
      <c r="K87" s="31"/>
      <c r="L87" s="31"/>
      <c r="M87" s="1"/>
      <c r="N87" s="1"/>
      <c r="O87" s="1"/>
      <c r="P87" s="1"/>
      <c r="Q87" s="31"/>
      <c r="R87" s="1"/>
      <c r="S87" s="1"/>
      <c r="T87" s="1"/>
      <c r="U87" s="1"/>
      <c r="V87" s="1"/>
      <c r="W87" s="1"/>
      <c r="X87" s="1"/>
      <c r="Y87" s="128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3">
      <c r="A88" s="1"/>
      <c r="B88" s="31"/>
      <c r="C88" s="31"/>
      <c r="D88" s="31"/>
      <c r="E88" s="1"/>
      <c r="F88" s="31"/>
      <c r="G88" s="31"/>
      <c r="H88" s="31"/>
      <c r="I88" s="31"/>
      <c r="J88" s="31"/>
      <c r="K88" s="31"/>
      <c r="L88" s="31"/>
      <c r="M88" s="1"/>
      <c r="N88" s="1"/>
      <c r="O88" s="1"/>
      <c r="P88" s="1"/>
      <c r="Q88" s="31"/>
      <c r="R88" s="1"/>
      <c r="S88" s="1"/>
      <c r="T88" s="1"/>
      <c r="U88" s="1"/>
      <c r="V88" s="1"/>
      <c r="W88" s="1"/>
      <c r="X88" s="1"/>
      <c r="Y88" s="128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3">
      <c r="A89" s="1"/>
      <c r="B89" s="31"/>
      <c r="C89" s="31"/>
      <c r="D89" s="31"/>
      <c r="E89" s="1"/>
      <c r="F89" s="31"/>
      <c r="G89" s="31"/>
      <c r="H89" s="31"/>
      <c r="I89" s="31"/>
      <c r="J89" s="31"/>
      <c r="K89" s="31"/>
      <c r="L89" s="31"/>
      <c r="M89" s="1"/>
      <c r="N89" s="1"/>
      <c r="O89" s="1"/>
      <c r="P89" s="1"/>
      <c r="Q89" s="31"/>
      <c r="R89" s="1"/>
      <c r="S89" s="1"/>
      <c r="T89" s="1"/>
      <c r="U89" s="1"/>
      <c r="V89" s="1"/>
      <c r="W89" s="1"/>
      <c r="X89" s="1"/>
      <c r="Y89" s="128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3">
      <c r="A90" s="1"/>
      <c r="B90" s="31"/>
      <c r="C90" s="31"/>
      <c r="D90" s="31"/>
      <c r="E90" s="1"/>
      <c r="F90" s="31"/>
      <c r="G90" s="31"/>
      <c r="H90" s="31"/>
      <c r="I90" s="31"/>
      <c r="J90" s="31"/>
      <c r="K90" s="31"/>
      <c r="L90" s="31"/>
      <c r="M90" s="1"/>
      <c r="N90" s="1"/>
      <c r="O90" s="1"/>
      <c r="P90" s="1"/>
      <c r="Q90" s="31"/>
      <c r="R90" s="1"/>
      <c r="S90" s="1"/>
      <c r="T90" s="1"/>
      <c r="U90" s="1"/>
      <c r="V90" s="1"/>
      <c r="W90" s="1"/>
      <c r="X90" s="1"/>
      <c r="Y90" s="128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3">
      <c r="A91" s="1"/>
      <c r="B91" s="31"/>
      <c r="C91" s="31"/>
      <c r="D91" s="31"/>
      <c r="E91" s="1"/>
      <c r="F91" s="31"/>
      <c r="G91" s="31"/>
      <c r="H91" s="31"/>
      <c r="I91" s="31"/>
      <c r="J91" s="31"/>
      <c r="K91" s="31"/>
      <c r="L91" s="31"/>
      <c r="M91" s="1"/>
      <c r="N91" s="1"/>
      <c r="O91" s="1"/>
      <c r="P91" s="1"/>
      <c r="Q91" s="31"/>
      <c r="R91" s="1"/>
      <c r="S91" s="1"/>
      <c r="T91" s="1"/>
      <c r="U91" s="1"/>
      <c r="V91" s="1"/>
      <c r="W91" s="1"/>
      <c r="X91" s="1"/>
      <c r="Y91" s="128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3">
      <c r="A92" s="1"/>
      <c r="B92" s="31"/>
      <c r="C92" s="31"/>
      <c r="D92" s="31"/>
      <c r="E92" s="1"/>
      <c r="F92" s="31"/>
      <c r="G92" s="31"/>
      <c r="H92" s="31"/>
      <c r="I92" s="31"/>
      <c r="J92" s="31"/>
      <c r="K92" s="31"/>
      <c r="L92" s="31"/>
      <c r="M92" s="1"/>
      <c r="N92" s="1"/>
      <c r="O92" s="1"/>
      <c r="P92" s="1"/>
      <c r="Q92" s="31"/>
      <c r="R92" s="1"/>
      <c r="S92" s="1"/>
      <c r="T92" s="1"/>
      <c r="U92" s="1"/>
      <c r="V92" s="1"/>
      <c r="W92" s="1"/>
      <c r="X92" s="1"/>
      <c r="Y92" s="128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3">
      <c r="A93" s="1"/>
      <c r="B93" s="31"/>
      <c r="C93" s="31"/>
      <c r="D93" s="31"/>
      <c r="E93" s="1"/>
      <c r="F93" s="31"/>
      <c r="G93" s="31"/>
      <c r="H93" s="31"/>
      <c r="I93" s="31"/>
      <c r="J93" s="31"/>
      <c r="K93" s="31"/>
      <c r="L93" s="31"/>
      <c r="M93" s="1"/>
      <c r="N93" s="1"/>
      <c r="O93" s="1"/>
      <c r="P93" s="1"/>
      <c r="Q93" s="31"/>
      <c r="R93" s="1"/>
      <c r="S93" s="1"/>
      <c r="T93" s="1"/>
      <c r="U93" s="1"/>
      <c r="V93" s="1"/>
      <c r="W93" s="1"/>
      <c r="X93" s="1"/>
      <c r="Y93" s="128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3">
      <c r="A94" s="1"/>
      <c r="B94" s="31"/>
      <c r="C94" s="31"/>
      <c r="D94" s="31"/>
      <c r="E94" s="1"/>
      <c r="F94" s="31"/>
      <c r="G94" s="31"/>
      <c r="H94" s="31"/>
      <c r="I94" s="31"/>
      <c r="J94" s="31"/>
      <c r="K94" s="31"/>
      <c r="L94" s="31"/>
      <c r="M94" s="1"/>
      <c r="N94" s="1"/>
      <c r="O94" s="1"/>
      <c r="P94" s="1"/>
      <c r="Q94" s="31"/>
      <c r="R94" s="1"/>
      <c r="S94" s="1"/>
      <c r="T94" s="1"/>
      <c r="U94" s="1"/>
      <c r="V94" s="1"/>
      <c r="W94" s="1"/>
      <c r="X94" s="1"/>
      <c r="Y94" s="128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3">
      <c r="A95" s="1"/>
      <c r="B95" s="31"/>
      <c r="C95" s="31"/>
      <c r="D95" s="31"/>
      <c r="E95" s="1"/>
      <c r="F95" s="31"/>
      <c r="G95" s="31"/>
      <c r="H95" s="31"/>
      <c r="I95" s="31"/>
      <c r="J95" s="31"/>
      <c r="K95" s="31"/>
      <c r="L95" s="31"/>
      <c r="M95" s="1"/>
      <c r="N95" s="1"/>
      <c r="O95" s="1"/>
      <c r="P95" s="1"/>
      <c r="Q95" s="31"/>
      <c r="R95" s="1"/>
      <c r="S95" s="1"/>
      <c r="T95" s="1"/>
      <c r="U95" s="1"/>
      <c r="V95" s="1"/>
      <c r="W95" s="1"/>
      <c r="X95" s="1"/>
      <c r="Y95" s="128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3">
      <c r="A96" s="1"/>
      <c r="B96" s="31"/>
      <c r="C96" s="31"/>
      <c r="D96" s="31"/>
      <c r="E96" s="1"/>
      <c r="F96" s="31"/>
      <c r="G96" s="31"/>
      <c r="H96" s="31"/>
      <c r="I96" s="31"/>
      <c r="J96" s="31"/>
      <c r="K96" s="31"/>
      <c r="L96" s="31"/>
      <c r="M96" s="1"/>
      <c r="N96" s="1"/>
      <c r="O96" s="1"/>
      <c r="P96" s="1"/>
      <c r="Q96" s="31"/>
      <c r="R96" s="1"/>
      <c r="S96" s="1"/>
      <c r="T96" s="1"/>
      <c r="U96" s="1"/>
      <c r="V96" s="1"/>
      <c r="W96" s="1"/>
      <c r="X96" s="1"/>
      <c r="Y96" s="128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3">
      <c r="A97" s="1"/>
      <c r="B97" s="31"/>
      <c r="C97" s="31"/>
      <c r="D97" s="31"/>
      <c r="E97" s="1"/>
      <c r="F97" s="31"/>
      <c r="G97" s="31"/>
      <c r="H97" s="31"/>
      <c r="I97" s="31"/>
      <c r="J97" s="31"/>
      <c r="K97" s="31"/>
      <c r="L97" s="31"/>
      <c r="M97" s="1"/>
      <c r="N97" s="1"/>
      <c r="O97" s="1"/>
      <c r="P97" s="1"/>
      <c r="Q97" s="31"/>
      <c r="R97" s="1"/>
      <c r="S97" s="1"/>
      <c r="T97" s="1"/>
      <c r="U97" s="1"/>
      <c r="V97" s="1"/>
      <c r="W97" s="1"/>
      <c r="X97" s="1"/>
      <c r="Y97" s="128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3">
      <c r="A98" s="1"/>
      <c r="B98" s="31"/>
      <c r="C98" s="31"/>
      <c r="D98" s="31"/>
      <c r="E98" s="1"/>
      <c r="F98" s="31"/>
      <c r="G98" s="31"/>
      <c r="H98" s="31"/>
      <c r="I98" s="31"/>
      <c r="J98" s="31"/>
      <c r="K98" s="31"/>
      <c r="L98" s="31"/>
      <c r="M98" s="1"/>
      <c r="N98" s="1"/>
      <c r="O98" s="1"/>
      <c r="P98" s="1"/>
      <c r="Q98" s="31"/>
      <c r="R98" s="1"/>
      <c r="S98" s="1"/>
      <c r="T98" s="1"/>
      <c r="U98" s="1"/>
      <c r="V98" s="1"/>
      <c r="W98" s="1"/>
      <c r="X98" s="1"/>
      <c r="Y98" s="128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3">
      <c r="A99" s="1"/>
      <c r="B99" s="31"/>
      <c r="C99" s="31"/>
      <c r="D99" s="31"/>
      <c r="E99" s="1"/>
      <c r="F99" s="31"/>
      <c r="G99" s="31"/>
      <c r="H99" s="31"/>
      <c r="I99" s="31"/>
      <c r="J99" s="31"/>
      <c r="K99" s="31"/>
      <c r="L99" s="31"/>
      <c r="M99" s="1"/>
      <c r="N99" s="1"/>
      <c r="O99" s="1"/>
      <c r="P99" s="1"/>
      <c r="Q99" s="31"/>
      <c r="R99" s="1"/>
      <c r="S99" s="1"/>
      <c r="T99" s="1"/>
      <c r="U99" s="1"/>
      <c r="V99" s="1"/>
      <c r="W99" s="1"/>
      <c r="X99" s="1"/>
      <c r="Y99" s="128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3">
      <c r="A100" s="1"/>
      <c r="AI100" s="1"/>
      <c r="AJ100" s="1"/>
    </row>
    <row r="101" spans="1:36" x14ac:dyDescent="0.3">
      <c r="A101" s="1"/>
      <c r="AI101" s="1"/>
      <c r="AJ101" s="1"/>
    </row>
    <row r="102" spans="1:36" x14ac:dyDescent="0.3">
      <c r="A102" s="1"/>
      <c r="AI102" s="1"/>
      <c r="AJ102" s="1"/>
    </row>
  </sheetData>
  <sheetProtection algorithmName="SHA-512" hashValue="00euBLSdKs4bcbhVTC4wYAh6/pNoYNJwrGtlps0jjqWMi6zYgQdB56s6uHQVeYmMgNZZOZVp0e1qSfow6x7O+w==" saltValue="L7Alwx9621QJ2qDABah8lg==" spinCount="100000" sheet="1" objects="1" scenarios="1" insertRows="0" selectLockedCells="1"/>
  <mergeCells count="34">
    <mergeCell ref="Y14:Y15"/>
    <mergeCell ref="O6:X6"/>
    <mergeCell ref="N5:X5"/>
    <mergeCell ref="O7:X7"/>
    <mergeCell ref="O8:X8"/>
    <mergeCell ref="K14:K15"/>
    <mergeCell ref="L14:L15"/>
    <mergeCell ref="S14:S15"/>
    <mergeCell ref="W14:W15"/>
    <mergeCell ref="U14:U15"/>
    <mergeCell ref="Q14:Q15"/>
    <mergeCell ref="R14:R15"/>
    <mergeCell ref="T14:T15"/>
    <mergeCell ref="Z14:Z15"/>
    <mergeCell ref="B13:B15"/>
    <mergeCell ref="C13:C15"/>
    <mergeCell ref="M14:M15"/>
    <mergeCell ref="O14:O15"/>
    <mergeCell ref="D13:D15"/>
    <mergeCell ref="E13:E15"/>
    <mergeCell ref="J14:J15"/>
    <mergeCell ref="F13:F15"/>
    <mergeCell ref="N14:N15"/>
    <mergeCell ref="P14:P15"/>
    <mergeCell ref="J13:P13"/>
    <mergeCell ref="G13:G15"/>
    <mergeCell ref="V14:V15"/>
    <mergeCell ref="X14:X15"/>
    <mergeCell ref="Q13:X13"/>
    <mergeCell ref="AA13:AH13"/>
    <mergeCell ref="AA14:AB14"/>
    <mergeCell ref="AC14:AD14"/>
    <mergeCell ref="AG14:AH14"/>
    <mergeCell ref="AE14:AF14"/>
  </mergeCells>
  <phoneticPr fontId="13" type="noConversion"/>
  <conditionalFormatting sqref="J18:P31">
    <cfRule type="expression" dxfId="15" priority="14">
      <formula>AND($O18=$M18,$O18&lt;&gt;0)</formula>
    </cfRule>
  </conditionalFormatting>
  <conditionalFormatting sqref="Q18:Y31">
    <cfRule type="expression" dxfId="14" priority="15">
      <formula>AND($W18=$U18,$W18&lt;&gt;0)</formula>
    </cfRule>
  </conditionalFormatting>
  <conditionalFormatting sqref="R18:R31">
    <cfRule type="expression" dxfId="11" priority="11">
      <formula>AND($Q18&lt;&gt;0,ISBLANK($R18))</formula>
    </cfRule>
  </conditionalFormatting>
  <conditionalFormatting sqref="D18:D19 D25:D31">
    <cfRule type="expression" dxfId="10" priority="10">
      <formula>AND($C18&lt;&gt;0,ISBLANK($D18))</formula>
    </cfRule>
  </conditionalFormatting>
  <conditionalFormatting sqref="AA18:AB31">
    <cfRule type="expression" dxfId="9" priority="9">
      <formula>AND($O18=$M18,$O18&lt;&gt;0)</formula>
    </cfRule>
  </conditionalFormatting>
  <conditionalFormatting sqref="AC18:AD31">
    <cfRule type="expression" dxfId="8" priority="8">
      <formula>AND($W18=$U18,$W18&lt;&gt;0)</formula>
    </cfRule>
  </conditionalFormatting>
  <conditionalFormatting sqref="D20">
    <cfRule type="expression" dxfId="4" priority="5">
      <formula>AND($C20&lt;&gt;0,ISBLANK($D20))</formula>
    </cfRule>
  </conditionalFormatting>
  <conditionalFormatting sqref="D21">
    <cfRule type="expression" dxfId="3" priority="4">
      <formula>AND($C21&lt;&gt;0,ISBLANK($D21))</formula>
    </cfRule>
  </conditionalFormatting>
  <conditionalFormatting sqref="D22">
    <cfRule type="expression" dxfId="2" priority="3">
      <formula>AND($C22&lt;&gt;0,ISBLANK($D22))</formula>
    </cfRule>
  </conditionalFormatting>
  <conditionalFormatting sqref="D23">
    <cfRule type="expression" dxfId="1" priority="2">
      <formula>AND($C23&lt;&gt;0,ISBLANK($D23))</formula>
    </cfRule>
  </conditionalFormatting>
  <conditionalFormatting sqref="D24">
    <cfRule type="expression" dxfId="0" priority="1">
      <formula>AND($C24&lt;&gt;0,ISBLANK($D24))</formula>
    </cfRule>
  </conditionalFormatting>
  <dataValidations count="3">
    <dataValidation type="list" allowBlank="1" showInputMessage="1" showErrorMessage="1" sqref="R16 R18:R31" xr:uid="{0A25ABB3-AE7D-489C-A0D7-4ADBA151144B}">
      <formula1>"m³,GJ"</formula1>
    </dataValidation>
    <dataValidation type="list" allowBlank="1" showInputMessage="1" showErrorMessage="1" sqref="D16 D18:D31" xr:uid="{C8A69394-409F-4628-86D9-D53DF9A60527}">
      <formula1>"m²,ft²"</formula1>
    </dataValidation>
    <dataValidation type="list" allowBlank="1" showInputMessage="1" showErrorMessage="1" sqref="G18:G31" xr:uid="{4009A42F-2C1E-4F90-8B37-F43FE719CD57}">
      <formula1>"Top Decile, Top Quartile"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00C8E-F12B-415C-8776-DB45E98193F6}">
          <x14:formula1>
            <xm:f>'Targets and Assumptions'!$B$11:$B$21</xm:f>
          </x14:formula1>
          <xm:sqref>F18:F31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8D7D-C55F-4C8F-89E3-F5B949342BB1}">
  <dimension ref="A1:Q65"/>
  <sheetViews>
    <sheetView zoomScaleNormal="100" zoomScaleSheetLayoutView="100" workbookViewId="0">
      <selection activeCell="E36" sqref="E36"/>
    </sheetView>
  </sheetViews>
  <sheetFormatPr defaultRowHeight="14" x14ac:dyDescent="0.3"/>
  <cols>
    <col min="1" max="1" width="16.25" customWidth="1"/>
    <col min="2" max="2" width="38.33203125" customWidth="1"/>
    <col min="3" max="3" width="13.75" customWidth="1"/>
    <col min="4" max="7" width="13" customWidth="1"/>
    <col min="9" max="9" width="18.75" customWidth="1"/>
    <col min="10" max="10" width="58.08203125" customWidth="1"/>
  </cols>
  <sheetData>
    <row r="1" spans="1:17" ht="13.5" customHeight="1" x14ac:dyDescent="0.3">
      <c r="A1" s="1"/>
      <c r="B1" s="179" t="s">
        <v>78</v>
      </c>
      <c r="C1" s="179"/>
      <c r="D1" s="179"/>
      <c r="E1" s="179"/>
      <c r="F1" s="179"/>
      <c r="G1" s="179"/>
      <c r="H1" s="179"/>
      <c r="I1" s="179"/>
      <c r="J1" s="179"/>
      <c r="K1" s="1"/>
      <c r="L1" s="1"/>
      <c r="M1" s="1"/>
      <c r="N1" s="1"/>
    </row>
    <row r="2" spans="1:17" ht="22" x14ac:dyDescent="0.65">
      <c r="A2" s="1"/>
      <c r="B2" s="179"/>
      <c r="C2" s="179"/>
      <c r="D2" s="179"/>
      <c r="E2" s="179"/>
      <c r="F2" s="179"/>
      <c r="G2" s="179"/>
      <c r="H2" s="179"/>
      <c r="I2" s="179"/>
      <c r="J2" s="179"/>
      <c r="K2" s="5"/>
      <c r="L2" s="5"/>
      <c r="M2" s="5"/>
      <c r="N2" s="12"/>
      <c r="O2" s="11"/>
      <c r="P2" s="11"/>
      <c r="Q2" s="11"/>
    </row>
    <row r="3" spans="1:17" ht="13.5" customHeight="1" x14ac:dyDescent="0.3">
      <c r="A3" s="1"/>
      <c r="B3" s="179"/>
      <c r="C3" s="179"/>
      <c r="D3" s="179"/>
      <c r="E3" s="179"/>
      <c r="F3" s="179"/>
      <c r="G3" s="179"/>
      <c r="H3" s="179"/>
      <c r="I3" s="179"/>
      <c r="J3" s="179"/>
      <c r="K3" s="5"/>
      <c r="L3" s="5"/>
      <c r="M3" s="5"/>
      <c r="N3" s="5"/>
      <c r="O3" s="11"/>
      <c r="P3" s="11"/>
      <c r="Q3" s="11"/>
    </row>
    <row r="4" spans="1:17" x14ac:dyDescent="0.3">
      <c r="A4" s="1"/>
      <c r="B4" s="182"/>
      <c r="C4" s="182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7" ht="13.5" customHeight="1" x14ac:dyDescent="0.35">
      <c r="A5" s="1"/>
      <c r="B5" s="202" t="s">
        <v>79</v>
      </c>
      <c r="C5" s="202"/>
      <c r="D5" s="202"/>
      <c r="E5" s="202"/>
      <c r="F5" s="202"/>
      <c r="G5" s="202"/>
      <c r="H5" s="1"/>
      <c r="I5" s="1"/>
      <c r="J5" s="1"/>
      <c r="K5" s="1"/>
      <c r="L5" s="1"/>
      <c r="M5" s="1"/>
      <c r="N5" s="1"/>
    </row>
    <row r="6" spans="1:17" ht="13.5" customHeight="1" x14ac:dyDescent="0.35">
      <c r="A6" s="1"/>
      <c r="B6" s="202" t="s">
        <v>80</v>
      </c>
      <c r="C6" s="202"/>
      <c r="D6" s="202"/>
      <c r="E6" s="202"/>
      <c r="F6" s="202"/>
      <c r="G6" s="202"/>
      <c r="H6" s="1"/>
      <c r="I6" s="1"/>
      <c r="J6" s="1"/>
      <c r="K6" s="1"/>
      <c r="L6" s="1"/>
      <c r="M6" s="1"/>
      <c r="N6" s="1"/>
    </row>
    <row r="7" spans="1:17" ht="14.5" thickBot="1" x14ac:dyDescent="0.35">
      <c r="A7" s="1"/>
      <c r="B7" s="182"/>
      <c r="C7" s="182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7" ht="14.5" thickBot="1" x14ac:dyDescent="0.35">
      <c r="A8" s="1"/>
      <c r="B8" s="184" t="s">
        <v>81</v>
      </c>
      <c r="C8" s="185"/>
      <c r="D8" s="185"/>
      <c r="E8" s="185"/>
      <c r="F8" s="185"/>
      <c r="G8" s="186"/>
      <c r="H8" s="5"/>
      <c r="I8" s="204" t="s">
        <v>82</v>
      </c>
      <c r="J8" s="205"/>
      <c r="K8" s="1"/>
      <c r="L8" s="1"/>
      <c r="M8" s="1"/>
      <c r="N8" s="1"/>
    </row>
    <row r="9" spans="1:17" ht="14.5" thickBot="1" x14ac:dyDescent="0.35">
      <c r="A9" s="1"/>
      <c r="B9" s="187" t="s">
        <v>24</v>
      </c>
      <c r="C9" s="188"/>
      <c r="D9" s="184" t="s">
        <v>83</v>
      </c>
      <c r="E9" s="186"/>
      <c r="F9" s="189" t="s">
        <v>84</v>
      </c>
      <c r="G9" s="190"/>
      <c r="H9" s="5"/>
      <c r="I9" s="206" t="s">
        <v>85</v>
      </c>
      <c r="J9" s="207" t="s">
        <v>132</v>
      </c>
      <c r="K9" s="1"/>
      <c r="L9" s="1"/>
      <c r="M9" s="1"/>
      <c r="N9" s="1"/>
    </row>
    <row r="10" spans="1:17" ht="28.5" customHeight="1" x14ac:dyDescent="0.3">
      <c r="A10" s="1"/>
      <c r="B10" s="180"/>
      <c r="C10" s="183"/>
      <c r="D10" s="37" t="s">
        <v>86</v>
      </c>
      <c r="E10" s="38" t="s">
        <v>87</v>
      </c>
      <c r="F10" s="37" t="s">
        <v>86</v>
      </c>
      <c r="G10" s="38" t="s">
        <v>87</v>
      </c>
      <c r="H10" s="5"/>
      <c r="I10" s="196"/>
      <c r="J10" s="195"/>
      <c r="K10" s="1"/>
      <c r="L10" s="1"/>
      <c r="M10" s="1"/>
      <c r="N10" s="1"/>
    </row>
    <row r="11" spans="1:17" x14ac:dyDescent="0.3">
      <c r="A11" s="1"/>
      <c r="B11" s="92" t="s">
        <v>88</v>
      </c>
      <c r="C11" s="93"/>
      <c r="D11" s="54">
        <v>12.5</v>
      </c>
      <c r="E11" s="55">
        <v>7.5</v>
      </c>
      <c r="F11" s="54">
        <v>10</v>
      </c>
      <c r="G11" s="55">
        <v>5</v>
      </c>
      <c r="H11" s="5"/>
      <c r="I11" s="196"/>
      <c r="J11" s="195"/>
      <c r="K11" s="1"/>
      <c r="L11" s="1"/>
      <c r="M11" s="1"/>
      <c r="N11" s="1"/>
    </row>
    <row r="12" spans="1:17" x14ac:dyDescent="0.3">
      <c r="A12" s="1"/>
      <c r="B12" s="92" t="s">
        <v>89</v>
      </c>
      <c r="C12" s="93"/>
      <c r="D12" s="54">
        <v>5.6045888529354109</v>
      </c>
      <c r="E12" s="55">
        <v>15.585646851376499</v>
      </c>
      <c r="F12" s="54">
        <v>4</v>
      </c>
      <c r="G12" s="55">
        <v>12.5</v>
      </c>
      <c r="H12" s="5"/>
      <c r="I12" s="196"/>
      <c r="J12" s="195"/>
      <c r="K12" s="1"/>
      <c r="L12" s="1"/>
      <c r="M12" s="1"/>
      <c r="N12" s="1"/>
    </row>
    <row r="13" spans="1:17" x14ac:dyDescent="0.3">
      <c r="A13" s="1"/>
      <c r="B13" s="92" t="s">
        <v>90</v>
      </c>
      <c r="C13" s="93"/>
      <c r="D13" s="60">
        <f>D12-3.1</f>
        <v>2.5045888529354108</v>
      </c>
      <c r="E13" s="61">
        <v>16</v>
      </c>
      <c r="F13" s="54">
        <v>1.3</v>
      </c>
      <c r="G13" s="55">
        <v>12.5</v>
      </c>
      <c r="H13" s="5"/>
      <c r="I13" s="201" t="s">
        <v>91</v>
      </c>
      <c r="J13" s="195" t="s">
        <v>92</v>
      </c>
      <c r="K13" s="1"/>
      <c r="L13" s="1"/>
      <c r="M13" s="1"/>
      <c r="N13" s="1"/>
    </row>
    <row r="14" spans="1:17" ht="15" customHeight="1" x14ac:dyDescent="0.3">
      <c r="A14" s="1"/>
      <c r="B14" s="92" t="s">
        <v>93</v>
      </c>
      <c r="C14" s="93"/>
      <c r="D14" s="54">
        <v>4</v>
      </c>
      <c r="E14" s="55">
        <v>6.5</v>
      </c>
      <c r="F14" s="54">
        <v>2.8</v>
      </c>
      <c r="G14" s="55">
        <v>6.1</v>
      </c>
      <c r="H14" s="5"/>
      <c r="I14" s="201"/>
      <c r="J14" s="195"/>
      <c r="K14" s="1"/>
      <c r="L14" s="1"/>
      <c r="M14" s="1"/>
      <c r="N14" s="1"/>
    </row>
    <row r="15" spans="1:17" x14ac:dyDescent="0.3">
      <c r="A15" s="1"/>
      <c r="B15" s="92" t="s">
        <v>94</v>
      </c>
      <c r="C15" s="93"/>
      <c r="D15" s="54">
        <v>5</v>
      </c>
      <c r="E15" s="55">
        <v>7.5</v>
      </c>
      <c r="F15" s="54">
        <v>2.9</v>
      </c>
      <c r="G15" s="55">
        <v>6.4</v>
      </c>
      <c r="H15" s="5"/>
      <c r="I15" s="201"/>
      <c r="J15" s="195"/>
      <c r="K15" s="1"/>
      <c r="L15" s="1"/>
      <c r="M15" s="1"/>
      <c r="N15" s="1"/>
    </row>
    <row r="16" spans="1:17" x14ac:dyDescent="0.3">
      <c r="A16" s="1"/>
      <c r="B16" s="92" t="s">
        <v>95</v>
      </c>
      <c r="C16" s="93"/>
      <c r="D16" s="57">
        <v>13</v>
      </c>
      <c r="E16" s="58">
        <v>7.5</v>
      </c>
      <c r="F16" s="57">
        <v>10</v>
      </c>
      <c r="G16" s="58">
        <v>5</v>
      </c>
      <c r="H16" s="5"/>
      <c r="I16" s="201"/>
      <c r="J16" s="195"/>
      <c r="K16" s="1"/>
      <c r="L16" s="1"/>
      <c r="M16" s="1"/>
      <c r="N16" s="1"/>
    </row>
    <row r="17" spans="1:14" ht="13.5" customHeight="1" x14ac:dyDescent="0.3">
      <c r="A17" s="1"/>
      <c r="B17" s="92" t="s">
        <v>96</v>
      </c>
      <c r="C17" s="93"/>
      <c r="D17" s="54">
        <v>17.100000000000001</v>
      </c>
      <c r="E17" s="55">
        <v>6.7</v>
      </c>
      <c r="F17" s="54">
        <v>13.8</v>
      </c>
      <c r="G17" s="55">
        <v>5</v>
      </c>
      <c r="H17" s="5"/>
      <c r="I17" s="196" t="s">
        <v>97</v>
      </c>
      <c r="J17" s="195" t="s">
        <v>98</v>
      </c>
      <c r="K17" s="1"/>
      <c r="L17" s="1"/>
      <c r="M17" s="1"/>
      <c r="N17" s="1"/>
    </row>
    <row r="18" spans="1:14" x14ac:dyDescent="0.3">
      <c r="A18" s="1"/>
      <c r="B18" s="92" t="s">
        <v>131</v>
      </c>
      <c r="C18" s="93"/>
      <c r="D18" s="60">
        <v>12.8</v>
      </c>
      <c r="E18" s="61">
        <v>21</v>
      </c>
      <c r="F18" s="78">
        <v>11.6</v>
      </c>
      <c r="G18" s="79">
        <v>16.8</v>
      </c>
      <c r="H18" s="5"/>
      <c r="I18" s="196"/>
      <c r="J18" s="195"/>
      <c r="K18" s="1"/>
      <c r="L18" s="1"/>
      <c r="M18" s="1"/>
      <c r="N18" s="1"/>
    </row>
    <row r="19" spans="1:14" x14ac:dyDescent="0.3">
      <c r="A19" s="1"/>
      <c r="B19" s="92" t="s">
        <v>99</v>
      </c>
      <c r="C19" s="93"/>
      <c r="D19" s="108">
        <v>14.3</v>
      </c>
      <c r="E19" s="109">
        <v>15.6</v>
      </c>
      <c r="F19" s="110">
        <v>13.5</v>
      </c>
      <c r="G19" s="111">
        <v>13</v>
      </c>
      <c r="H19" s="5"/>
      <c r="I19" s="196"/>
      <c r="J19" s="195"/>
      <c r="K19" s="1"/>
      <c r="L19" s="1"/>
      <c r="M19" s="1"/>
      <c r="N19" s="1"/>
    </row>
    <row r="20" spans="1:14" x14ac:dyDescent="0.3">
      <c r="A20" s="1"/>
      <c r="B20" s="113" t="s">
        <v>125</v>
      </c>
      <c r="C20" s="114"/>
      <c r="D20" s="115">
        <v>2.7</v>
      </c>
      <c r="E20" s="116">
        <v>6.8</v>
      </c>
      <c r="F20" s="117">
        <v>1.9</v>
      </c>
      <c r="G20" s="118">
        <v>3.9</v>
      </c>
      <c r="H20" s="5"/>
      <c r="I20" s="196"/>
      <c r="J20" s="195"/>
      <c r="K20" s="1"/>
      <c r="L20" s="1"/>
      <c r="M20" s="1"/>
      <c r="N20" s="1"/>
    </row>
    <row r="21" spans="1:14" ht="13.9" customHeight="1" thickBot="1" x14ac:dyDescent="0.35">
      <c r="A21" s="1"/>
      <c r="B21" s="95" t="s">
        <v>100</v>
      </c>
      <c r="C21" s="94"/>
      <c r="D21" s="76" t="str">
        <f>IF($C$30=1,D30,"")</f>
        <v/>
      </c>
      <c r="E21" s="77" t="str">
        <f t="shared" ref="E21:G21" si="0">IF($C$30=1,E30,"")</f>
        <v/>
      </c>
      <c r="F21" s="76" t="str">
        <f t="shared" si="0"/>
        <v/>
      </c>
      <c r="G21" s="77" t="str">
        <f t="shared" si="0"/>
        <v/>
      </c>
      <c r="H21" s="5"/>
      <c r="I21" s="201" t="s">
        <v>101</v>
      </c>
      <c r="J21" s="203" t="s">
        <v>102</v>
      </c>
      <c r="K21" s="1"/>
      <c r="L21" s="1"/>
      <c r="M21" s="1"/>
      <c r="N21" s="1"/>
    </row>
    <row r="22" spans="1:14" ht="14.5" customHeight="1" x14ac:dyDescent="0.3">
      <c r="A22" s="1"/>
      <c r="B22" s="182"/>
      <c r="C22" s="182"/>
      <c r="D22" s="1"/>
      <c r="E22" s="1"/>
      <c r="F22" s="36"/>
      <c r="G22" s="36"/>
      <c r="H22" s="5"/>
      <c r="I22" s="201"/>
      <c r="J22" s="203"/>
      <c r="K22" s="1"/>
      <c r="L22" s="1"/>
      <c r="M22" s="1"/>
      <c r="N22" s="1"/>
    </row>
    <row r="23" spans="1:14" ht="14.5" customHeight="1" thickBot="1" x14ac:dyDescent="0.35">
      <c r="A23" s="1"/>
      <c r="B23" s="1"/>
      <c r="C23" s="1"/>
      <c r="D23" s="1"/>
      <c r="E23" s="1"/>
      <c r="F23" s="36"/>
      <c r="G23" s="36"/>
      <c r="H23" s="5"/>
      <c r="I23" s="201"/>
      <c r="J23" s="203"/>
      <c r="K23" s="1"/>
      <c r="L23" s="1"/>
      <c r="M23" s="1"/>
      <c r="N23" s="1"/>
    </row>
    <row r="24" spans="1:14" ht="14.5" thickBot="1" x14ac:dyDescent="0.35">
      <c r="A24" s="1"/>
      <c r="B24" s="198" t="s">
        <v>103</v>
      </c>
      <c r="C24" s="199"/>
      <c r="D24" s="199"/>
      <c r="E24" s="199"/>
      <c r="F24" s="199"/>
      <c r="G24" s="200"/>
      <c r="H24" s="5"/>
      <c r="I24" s="196" t="s">
        <v>127</v>
      </c>
      <c r="J24" s="195" t="s">
        <v>129</v>
      </c>
      <c r="K24" s="1"/>
      <c r="L24" s="1"/>
      <c r="M24" s="1"/>
      <c r="N24" s="1"/>
    </row>
    <row r="25" spans="1:14" ht="14.25" customHeight="1" thickBot="1" x14ac:dyDescent="0.35">
      <c r="A25" s="1"/>
      <c r="B25" s="65" t="s">
        <v>18</v>
      </c>
      <c r="C25" s="66" t="s">
        <v>18</v>
      </c>
      <c r="D25" s="184" t="s">
        <v>83</v>
      </c>
      <c r="E25" s="186"/>
      <c r="F25" s="197" t="s">
        <v>84</v>
      </c>
      <c r="G25" s="190"/>
      <c r="H25" s="5"/>
      <c r="I25" s="196"/>
      <c r="J25" s="195"/>
      <c r="K25" s="1"/>
      <c r="L25" s="1"/>
      <c r="M25" s="1"/>
      <c r="N25" s="1"/>
    </row>
    <row r="26" spans="1:14" ht="32.65" customHeight="1" x14ac:dyDescent="0.3">
      <c r="A26" s="1"/>
      <c r="B26" s="64" t="s">
        <v>104</v>
      </c>
      <c r="C26" s="67" t="s">
        <v>105</v>
      </c>
      <c r="D26" s="68" t="s">
        <v>86</v>
      </c>
      <c r="E26" s="69" t="s">
        <v>87</v>
      </c>
      <c r="F26" s="59" t="s">
        <v>86</v>
      </c>
      <c r="G26" s="38" t="s">
        <v>87</v>
      </c>
      <c r="H26" s="1"/>
      <c r="I26" s="196"/>
      <c r="J26" s="195"/>
      <c r="K26" s="1"/>
      <c r="L26" s="1"/>
      <c r="M26" s="1"/>
      <c r="N26" s="1"/>
    </row>
    <row r="27" spans="1:14" x14ac:dyDescent="0.3">
      <c r="A27" s="1"/>
      <c r="B27" s="226"/>
      <c r="C27" s="227"/>
      <c r="D27" s="72" t="str">
        <f>IF($B27&lt;&gt;"",VLOOKUP($B27,$B$11:$G$20,3,FALSE),"")</f>
        <v/>
      </c>
      <c r="E27" s="73" t="str">
        <f>IF($B27&lt;&gt;"",VLOOKUP($B27,$B$11:$G$20,4,FALSE),"")</f>
        <v/>
      </c>
      <c r="F27" s="74" t="str">
        <f>IF($B27&lt;&gt;"",VLOOKUP($B27,$B$11:$G$20,5,FALSE),"")</f>
        <v/>
      </c>
      <c r="G27" s="73" t="str">
        <f>IF($B27&lt;&gt;"",VLOOKUP($B27,$B$11:$G$20,6,FALSE),"")</f>
        <v/>
      </c>
      <c r="H27" s="1"/>
      <c r="I27" s="201" t="s">
        <v>106</v>
      </c>
      <c r="J27" s="211" t="s">
        <v>128</v>
      </c>
      <c r="K27" s="1"/>
      <c r="L27" s="1"/>
      <c r="M27" s="1"/>
      <c r="N27" s="1"/>
    </row>
    <row r="28" spans="1:14" x14ac:dyDescent="0.3">
      <c r="A28" s="1"/>
      <c r="B28" s="226"/>
      <c r="C28" s="227"/>
      <c r="D28" s="72" t="str">
        <f>IF($B28&lt;&gt;"",VLOOKUP($B28,$B$11:$G$20,3,FALSE),"")</f>
        <v/>
      </c>
      <c r="E28" s="73" t="str">
        <f>IF($B28&lt;&gt;"",VLOOKUP($B28,$B$11:$G$20,4,FALSE),"")</f>
        <v/>
      </c>
      <c r="F28" s="74" t="str">
        <f>IF($B28&lt;&gt;"",VLOOKUP($B28,$B$11:$G$20,5,FALSE),"")</f>
        <v/>
      </c>
      <c r="G28" s="73" t="str">
        <f>IF($B28&lt;&gt;"",VLOOKUP($B28,$B$11:$G$20,6,FALSE),"")</f>
        <v/>
      </c>
      <c r="H28" s="1"/>
      <c r="I28" s="201"/>
      <c r="J28" s="211"/>
      <c r="K28" s="1"/>
      <c r="L28" s="1"/>
      <c r="M28" s="1"/>
      <c r="N28" s="1"/>
    </row>
    <row r="29" spans="1:14" ht="14.5" thickBot="1" x14ac:dyDescent="0.35">
      <c r="A29" s="1"/>
      <c r="B29" s="228"/>
      <c r="C29" s="229"/>
      <c r="D29" s="72" t="str">
        <f>IF($B29&lt;&gt;"",VLOOKUP($B29,$B$11:$G$20,3,FALSE),"")</f>
        <v/>
      </c>
      <c r="E29" s="73" t="str">
        <f>IF($B29&lt;&gt;"",VLOOKUP($B29,$B$11:$G$20,4,FALSE),"")</f>
        <v/>
      </c>
      <c r="F29" s="74" t="str">
        <f>IF($B29&lt;&gt;"",VLOOKUP($B29,$B$11:$G$20,5,FALSE),"")</f>
        <v/>
      </c>
      <c r="G29" s="73" t="str">
        <f>IF($B29&lt;&gt;"",VLOOKUP($B29,$B$11:$G$20,6,FALSE),"")</f>
        <v/>
      </c>
      <c r="H29" s="1"/>
      <c r="I29" s="201"/>
      <c r="J29" s="211"/>
      <c r="K29" s="1"/>
      <c r="L29" s="1"/>
      <c r="M29" s="1"/>
      <c r="N29" s="1"/>
    </row>
    <row r="30" spans="1:14" ht="14.5" thickBot="1" x14ac:dyDescent="0.35">
      <c r="A30" s="1"/>
      <c r="B30" s="70" t="s">
        <v>109</v>
      </c>
      <c r="C30" s="71" t="str">
        <f>IF(OR(ISNUMBER(C27),ISNUMBER(C28),ISNUMBER(C29)),SUM(C27:C29),"")</f>
        <v/>
      </c>
      <c r="D30" s="75" t="str">
        <f>IF(ISNUMBER($C$30),SUMPRODUCT($C$27:$C$29,D27:D29),"")</f>
        <v/>
      </c>
      <c r="E30" s="81" t="str">
        <f t="shared" ref="E30:G30" si="1">IF(ISNUMBER($C$30),SUMPRODUCT($C$27:$C$29,E27:E29),"")</f>
        <v/>
      </c>
      <c r="F30" s="75" t="str">
        <f t="shared" si="1"/>
        <v/>
      </c>
      <c r="G30" s="80" t="str">
        <f t="shared" si="1"/>
        <v/>
      </c>
      <c r="H30" s="1"/>
      <c r="I30" s="196" t="s">
        <v>107</v>
      </c>
      <c r="J30" s="195" t="s">
        <v>108</v>
      </c>
      <c r="K30" s="1"/>
      <c r="L30" s="1"/>
      <c r="M30" s="1"/>
      <c r="N30" s="1"/>
    </row>
    <row r="31" spans="1:14" ht="14.25" customHeight="1" x14ac:dyDescent="0.3">
      <c r="A31" s="1"/>
      <c r="B31" s="212" t="str">
        <f>IF(AND(ISNUMBER(C30),C30&lt;&gt;1),"Percentage must add up to 100%","")</f>
        <v/>
      </c>
      <c r="C31" s="212"/>
      <c r="D31" s="213"/>
      <c r="E31" s="213"/>
      <c r="F31" s="1"/>
      <c r="G31" s="1"/>
      <c r="H31" s="1"/>
      <c r="I31" s="196"/>
      <c r="J31" s="195"/>
      <c r="K31" s="1"/>
      <c r="L31" s="1"/>
      <c r="M31" s="1"/>
      <c r="N31" s="1"/>
    </row>
    <row r="32" spans="1:14" x14ac:dyDescent="0.3">
      <c r="A32" s="1"/>
      <c r="B32" s="1"/>
      <c r="C32" s="1"/>
      <c r="D32" s="1"/>
      <c r="E32" s="1"/>
      <c r="F32" s="1"/>
      <c r="G32" s="1"/>
      <c r="H32" s="1"/>
      <c r="I32" s="196"/>
      <c r="J32" s="195"/>
      <c r="K32" s="1"/>
      <c r="L32" s="1"/>
      <c r="M32" s="1"/>
      <c r="N32" s="1"/>
    </row>
    <row r="33" spans="1:14" ht="14.5" thickBot="1" x14ac:dyDescent="0.35">
      <c r="A33" s="1"/>
      <c r="B33" s="1"/>
      <c r="C33" s="1"/>
      <c r="D33" s="1"/>
      <c r="E33" s="1"/>
      <c r="F33" s="1"/>
      <c r="G33" s="1"/>
      <c r="H33" s="1"/>
      <c r="I33" s="193" t="s">
        <v>110</v>
      </c>
      <c r="J33" s="191" t="s">
        <v>111</v>
      </c>
      <c r="K33" s="1"/>
      <c r="L33" s="1"/>
      <c r="M33" s="1"/>
      <c r="N33" s="1"/>
    </row>
    <row r="34" spans="1:14" ht="14.5" thickBot="1" x14ac:dyDescent="0.35">
      <c r="A34" s="1"/>
      <c r="B34" s="184" t="s">
        <v>112</v>
      </c>
      <c r="C34" s="185"/>
      <c r="D34" s="185"/>
      <c r="E34" s="186"/>
      <c r="F34" s="1"/>
      <c r="G34" s="1"/>
      <c r="H34" s="1"/>
      <c r="I34" s="193"/>
      <c r="J34" s="191"/>
      <c r="K34" s="1"/>
      <c r="L34" s="1"/>
      <c r="M34" s="1"/>
      <c r="N34" s="1"/>
    </row>
    <row r="35" spans="1:14" ht="14.5" thickBot="1" x14ac:dyDescent="0.35">
      <c r="A35" s="1"/>
      <c r="B35" s="214" t="s">
        <v>113</v>
      </c>
      <c r="C35" s="215"/>
      <c r="D35" s="119" t="s">
        <v>114</v>
      </c>
      <c r="E35" s="120" t="s">
        <v>115</v>
      </c>
      <c r="F35" s="1"/>
      <c r="G35" s="1"/>
      <c r="H35" s="1"/>
      <c r="I35" s="193"/>
      <c r="J35" s="191"/>
      <c r="K35" s="1"/>
      <c r="L35" s="1"/>
      <c r="M35" s="1"/>
      <c r="N35" s="1"/>
    </row>
    <row r="36" spans="1:14" ht="14.5" customHeight="1" x14ac:dyDescent="0.3">
      <c r="A36" s="1"/>
      <c r="B36" s="216" t="s">
        <v>116</v>
      </c>
      <c r="C36" s="217"/>
      <c r="D36" s="121" t="s">
        <v>117</v>
      </c>
      <c r="E36" s="223">
        <v>0.15</v>
      </c>
      <c r="F36" s="128"/>
      <c r="G36" s="1"/>
      <c r="H36" s="1"/>
      <c r="I36" s="193"/>
      <c r="J36" s="191"/>
      <c r="K36" s="1"/>
      <c r="L36" s="1"/>
      <c r="M36" s="1"/>
      <c r="N36" s="1"/>
    </row>
    <row r="37" spans="1:14" ht="14.5" customHeight="1" x14ac:dyDescent="0.3">
      <c r="A37" s="1"/>
      <c r="B37" s="218" t="s">
        <v>145</v>
      </c>
      <c r="C37" s="219"/>
      <c r="D37" s="62" t="s">
        <v>118</v>
      </c>
      <c r="E37" s="224">
        <v>2.8000000000000001E-2</v>
      </c>
      <c r="F37" s="1"/>
      <c r="G37" s="1"/>
      <c r="H37" s="1"/>
      <c r="I37" s="193"/>
      <c r="J37" s="191"/>
      <c r="K37" s="1"/>
      <c r="L37" s="1"/>
      <c r="M37" s="1"/>
      <c r="N37" s="1"/>
    </row>
    <row r="38" spans="1:14" x14ac:dyDescent="0.3">
      <c r="A38" s="1"/>
      <c r="B38" s="218" t="s">
        <v>119</v>
      </c>
      <c r="C38" s="219"/>
      <c r="D38" s="62" t="s">
        <v>120</v>
      </c>
      <c r="E38" s="225">
        <v>0.3</v>
      </c>
      <c r="F38" s="1"/>
      <c r="G38" s="1"/>
      <c r="H38" s="1"/>
      <c r="I38" s="193"/>
      <c r="J38" s="191"/>
      <c r="K38" s="1"/>
      <c r="L38" s="1"/>
      <c r="M38" s="1"/>
      <c r="N38" s="1"/>
    </row>
    <row r="39" spans="1:14" x14ac:dyDescent="0.3">
      <c r="A39" s="1"/>
      <c r="B39" s="218" t="s">
        <v>121</v>
      </c>
      <c r="C39" s="219"/>
      <c r="D39" s="62" t="s">
        <v>122</v>
      </c>
      <c r="E39" s="224">
        <v>1.932688</v>
      </c>
      <c r="F39" s="1"/>
      <c r="G39" s="1"/>
      <c r="H39" s="1"/>
      <c r="I39" s="193"/>
      <c r="J39" s="191"/>
      <c r="K39" s="1"/>
      <c r="L39" s="1"/>
      <c r="M39" s="1"/>
      <c r="N39" s="1"/>
    </row>
    <row r="40" spans="1:14" ht="14.25" customHeight="1" thickBot="1" x14ac:dyDescent="0.35">
      <c r="A40" s="1"/>
      <c r="B40" s="180" t="s">
        <v>149</v>
      </c>
      <c r="C40" s="181"/>
      <c r="D40" s="63" t="s">
        <v>133</v>
      </c>
      <c r="E40" s="137">
        <f>0.0196/Elec.GHG</f>
        <v>0.7</v>
      </c>
      <c r="F40" s="1"/>
      <c r="G40" s="1"/>
      <c r="H40" s="1"/>
      <c r="I40" s="194"/>
      <c r="J40" s="192"/>
      <c r="K40" s="1"/>
      <c r="L40" s="1"/>
      <c r="M40" s="1"/>
      <c r="N40" s="1"/>
    </row>
    <row r="41" spans="1:14" x14ac:dyDescent="0.3">
      <c r="A41" s="1"/>
      <c r="B41" s="180" t="s">
        <v>149</v>
      </c>
      <c r="C41" s="181"/>
      <c r="D41" s="63" t="s">
        <v>123</v>
      </c>
      <c r="E41" s="129">
        <f>71.4/Gas.GHG</f>
        <v>36.943365923522059</v>
      </c>
      <c r="F41" s="1"/>
      <c r="G41" s="1"/>
      <c r="H41" s="1"/>
      <c r="I41" s="1"/>
      <c r="J41" s="1"/>
      <c r="K41" s="1"/>
      <c r="L41" s="1"/>
      <c r="M41" s="1"/>
      <c r="N41" s="1"/>
    </row>
    <row r="42" spans="1:14" ht="13.9" customHeight="1" thickBot="1" x14ac:dyDescent="0.35">
      <c r="A42" s="1"/>
      <c r="B42" s="208" t="s">
        <v>130</v>
      </c>
      <c r="C42" s="209"/>
      <c r="D42" s="122" t="s">
        <v>46</v>
      </c>
      <c r="E42" s="125">
        <v>0.75</v>
      </c>
      <c r="F42" s="1"/>
      <c r="G42" s="1"/>
      <c r="H42" s="1"/>
      <c r="I42" s="1"/>
      <c r="J42" s="1"/>
      <c r="K42" s="1"/>
      <c r="L42" s="1"/>
      <c r="M42" s="1"/>
      <c r="N42" s="1"/>
    </row>
    <row r="43" spans="1:14" ht="13.9" customHeight="1" x14ac:dyDescent="0.3">
      <c r="A43" s="123"/>
      <c r="B43" s="210"/>
      <c r="C43" s="210"/>
      <c r="D43" s="1"/>
      <c r="E43" s="124"/>
      <c r="F43" s="1"/>
      <c r="G43" s="1"/>
      <c r="H43" s="1"/>
      <c r="I43" s="130" t="s">
        <v>138</v>
      </c>
      <c r="J43" s="1"/>
      <c r="K43" s="1" t="s">
        <v>140</v>
      </c>
      <c r="L43" s="1"/>
      <c r="M43" s="1"/>
      <c r="N43" s="1"/>
    </row>
    <row r="44" spans="1:14" x14ac:dyDescent="0.3">
      <c r="A44" s="123"/>
      <c r="B44" s="123"/>
      <c r="C44" s="123"/>
      <c r="D44" s="1"/>
      <c r="E44" s="1"/>
      <c r="F44" s="1"/>
      <c r="G44" s="1"/>
      <c r="H44" s="1"/>
      <c r="I44" s="130" t="s">
        <v>139</v>
      </c>
      <c r="J44" s="1"/>
      <c r="K44" s="1" t="s">
        <v>141</v>
      </c>
      <c r="L44" s="1"/>
      <c r="M44" s="1"/>
      <c r="N44" s="1"/>
    </row>
    <row r="45" spans="1:14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65" spans="9:10" ht="14.5" thickBot="1" x14ac:dyDescent="0.35">
      <c r="I65" s="33"/>
      <c r="J65" s="34"/>
    </row>
  </sheetData>
  <sheetProtection algorithmName="SHA-512" hashValue="OHHkEjxSTG5hfGAKAwFi4o/xpV8QVzIvfYOv3hC6avA7TmQ2YhAnvtzsnkUiMfT+So8baOxva23vvEGh6zaOfw==" saltValue="XDUbpv48XWPlxUoqZdM2pg==" spinCount="100000" sheet="1" objects="1" scenarios="1" selectLockedCells="1"/>
  <mergeCells count="42">
    <mergeCell ref="B42:C42"/>
    <mergeCell ref="B43:C43"/>
    <mergeCell ref="B41:C41"/>
    <mergeCell ref="I27:I29"/>
    <mergeCell ref="J27:J29"/>
    <mergeCell ref="B34:E34"/>
    <mergeCell ref="B31:E31"/>
    <mergeCell ref="B35:C35"/>
    <mergeCell ref="B36:C36"/>
    <mergeCell ref="B37:C37"/>
    <mergeCell ref="B38:C38"/>
    <mergeCell ref="B39:C39"/>
    <mergeCell ref="I21:I23"/>
    <mergeCell ref="I24:I26"/>
    <mergeCell ref="J24:J26"/>
    <mergeCell ref="B4:C4"/>
    <mergeCell ref="B5:G5"/>
    <mergeCell ref="B6:G6"/>
    <mergeCell ref="J17:J20"/>
    <mergeCell ref="I17:I20"/>
    <mergeCell ref="J21:J23"/>
    <mergeCell ref="I8:J8"/>
    <mergeCell ref="I13:I16"/>
    <mergeCell ref="J13:J16"/>
    <mergeCell ref="I9:I12"/>
    <mergeCell ref="J9:J12"/>
    <mergeCell ref="B1:J3"/>
    <mergeCell ref="B40:C40"/>
    <mergeCell ref="B22:C22"/>
    <mergeCell ref="B10:C10"/>
    <mergeCell ref="B7:C7"/>
    <mergeCell ref="B8:G8"/>
    <mergeCell ref="B9:C9"/>
    <mergeCell ref="D9:E9"/>
    <mergeCell ref="F9:G9"/>
    <mergeCell ref="J33:J40"/>
    <mergeCell ref="I33:I40"/>
    <mergeCell ref="J30:J32"/>
    <mergeCell ref="I30:I32"/>
    <mergeCell ref="D25:E25"/>
    <mergeCell ref="F25:G25"/>
    <mergeCell ref="B24:G24"/>
  </mergeCells>
  <conditionalFormatting sqref="C30">
    <cfRule type="expression" dxfId="5" priority="1">
      <formula>AND(ISNUMBER($C$30),$C$30&lt;&gt;1)</formula>
    </cfRule>
  </conditionalFormatting>
  <dataValidations count="1">
    <dataValidation type="list" allowBlank="1" showInputMessage="1" showErrorMessage="1" sqref="B27:B29" xr:uid="{BB9FBFF3-0A1A-4769-ADC7-0310AA0829A5}">
      <formula1>$B$11:$B$20</formula1>
    </dataValidation>
  </dataValidations>
  <hyperlinks>
    <hyperlink ref="I43" r:id="rId1" display="https://natural-resources.canada.ca/energy-efficiency/energy-star-canada/energy-star-for-buildings/energy-benchmarking-data-snapshots/24216" xr:uid="{27D1F14B-69B7-489C-A10C-5C8BD66C15B6}"/>
    <hyperlink ref="I44" r:id="rId2" display="https://portfoliomanager.energystar.gov/pdf/reference/Canadian National Median Table.pdf" xr:uid="{643D0076-7228-457B-BAC8-7C09F30A0A0A}"/>
  </hyperlinks>
  <pageMargins left="0.7" right="0.7" top="0.75" bottom="0.75" header="0.3" footer="0.3"/>
  <pageSetup scale="50" orientation="portrait" r:id="rId3"/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E7BB5AACA420438E300B31C56FFFAA" ma:contentTypeVersion="18" ma:contentTypeDescription="Create a new document." ma:contentTypeScope="" ma:versionID="cb3293eb7f2de091e902fadf60a6a78c">
  <xsd:schema xmlns:xsd="http://www.w3.org/2001/XMLSchema" xmlns:xs="http://www.w3.org/2001/XMLSchema" xmlns:p="http://schemas.microsoft.com/office/2006/metadata/properties" xmlns:ns2="f4c5b6b5-5010-4cd7-b9d8-328332376668" xmlns:ns3="fedfcdd4-b7fd-4bd2-b4eb-ed8fd89b1040" targetNamespace="http://schemas.microsoft.com/office/2006/metadata/properties" ma:root="true" ma:fieldsID="326a2120049faa495a47963044dcff24" ns2:_="" ns3:_="">
    <xsd:import namespace="f4c5b6b5-5010-4cd7-b9d8-328332376668"/>
    <xsd:import namespace="fedfcdd4-b7fd-4bd2-b4eb-ed8fd89b10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r8j3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5b6b5-5010-4cd7-b9d8-3283323766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352de61-8f92-49eb-b26d-d8c2168eed7e}" ma:internalName="TaxCatchAll" ma:showField="CatchAllData" ma:web="f4c5b6b5-5010-4cd7-b9d8-3283323766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fcdd4-b7fd-4bd2-b4eb-ed8fd89b1040" elementFormDefault="qualified">
    <xsd:import namespace="http://schemas.microsoft.com/office/2006/documentManagement/types"/>
    <xsd:import namespace="http://schemas.microsoft.com/office/infopath/2007/PartnerControls"/>
    <xsd:element name="r8j3" ma:index="10" nillable="true" ma:displayName="Number" ma:internalName="r8j3">
      <xsd:simpleType>
        <xsd:restriction base="dms:Number"/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b7e4846-fd7b-464c-8e80-8b3f42a2f1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8j3 xmlns="fedfcdd4-b7fd-4bd2-b4eb-ed8fd89b1040" xsi:nil="true"/>
    <TaxCatchAll xmlns="f4c5b6b5-5010-4cd7-b9d8-328332376668" xsi:nil="true"/>
    <lcf76f155ced4ddcb4097134ff3c332f xmlns="fedfcdd4-b7fd-4bd2-b4eb-ed8fd89b104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6CB89D-8174-4F16-8C8A-6090C03867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61F50C-E674-44FA-8BCA-DE3ABD1862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c5b6b5-5010-4cd7-b9d8-328332376668"/>
    <ds:schemaRef ds:uri="fedfcdd4-b7fd-4bd2-b4eb-ed8fd89b1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4E6A76-A91F-4A4D-B1BC-0A0C657F02A2}">
  <ds:schemaRefs>
    <ds:schemaRef ds:uri="http://schemas.microsoft.com/office/2006/metadata/properties"/>
    <ds:schemaRef ds:uri="http://schemas.microsoft.com/office/infopath/2007/PartnerControls"/>
    <ds:schemaRef ds:uri="fedfcdd4-b7fd-4bd2-b4eb-ed8fd89b1040"/>
    <ds:schemaRef ds:uri="f4c5b6b5-5010-4cd7-b9d8-3283323766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Instructions</vt:lpstr>
      <vt:lpstr>Target Savings Calculator</vt:lpstr>
      <vt:lpstr>Targets and Assumptions</vt:lpstr>
      <vt:lpstr>CHW.Elec.Convert</vt:lpstr>
      <vt:lpstr>Elec.Cost</vt:lpstr>
      <vt:lpstr>Elec.GHG</vt:lpstr>
      <vt:lpstr>Gas.Cost</vt:lpstr>
      <vt:lpstr>Gas.GHG</vt:lpstr>
      <vt:lpstr>'Targets and Assumptions'!Print_Area</vt:lpstr>
      <vt:lpstr>Stm.Gas.Convert</vt:lpstr>
      <vt:lpstr>Stm.Gas.Convert.Eff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Jarvis</dc:creator>
  <cp:keywords/>
  <dc:description/>
  <cp:lastModifiedBy>Steven Han</cp:lastModifiedBy>
  <cp:revision/>
  <dcterms:created xsi:type="dcterms:W3CDTF">2022-04-13T14:34:43Z</dcterms:created>
  <dcterms:modified xsi:type="dcterms:W3CDTF">2023-09-08T14:22:35Z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0x01010089E7BB5AACA420438E300B31C56FFFAA</vt:lpwstr>
  </property>
  <property fmtid="{D5CDD505-2E9C-101B-9397-08002B2CF9AE}" pid="3" name="MediaServiceImageTags">
    <vt:lpwstr/>
  </property>
  <property fmtid="{D5CDD505-2E9C-101B-9397-08002B2CF9AE}" pid="4" name="Order">
    <vt:r8>1200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TemplateUrl">
    <vt:lpwstr/>
  </property>
  <property fmtid="{D5CDD505-2E9C-101B-9397-08002B2CF9AE}" pid="10" name="ComplianceAssetId">
    <vt:lpwstr/>
  </property>
</Properties>
</file>