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G:\EED\EEO\1 EI ExB\Net Zero Building Retrofit Guidance Material\0 - Final Deliverable\4 - Tools\"/>
    </mc:Choice>
  </mc:AlternateContent>
  <xr:revisionPtr revIDLastSave="0" documentId="13_ncr:1_{3F0CEA3F-F1A7-4637-A0BC-B05D4ACBE69C}" xr6:coauthVersionLast="47" xr6:coauthVersionMax="47" xr10:uidLastSave="{00000000-0000-0000-0000-000000000000}"/>
  <workbookProtection workbookAlgorithmName="SHA-512" workbookHashValue="/mVO++yX7ivba5breBsQz2Y4EPakb30Aab0Sm1n7U33AwlwwPCEQ+jV/1tzIFSpgMX52yr1M83KtEM3+G8Yqzw==" workbookSaltValue="r0hmpvKb/yUEtp3AbZpigA==" workbookSpinCount="100000" lockStructure="1"/>
  <bookViews>
    <workbookView xWindow="28680" yWindow="1650" windowWidth="29040" windowHeight="15720" activeTab="1" xr2:uid="{3C38BD4D-FD0A-4EAD-AC1D-E434393F37CA}"/>
  </bookViews>
  <sheets>
    <sheet name="Cover" sheetId="8" r:id="rId1"/>
    <sheet name="Life Cycle Cost Analysis" sheetId="2" r:id="rId2"/>
    <sheet name="Backend &gt;" sheetId="3" state="hidden" r:id="rId3"/>
    <sheet name="Tool Calc Sheet" sheetId="5" state="hidden" r:id="rId4"/>
    <sheet name="Existing Building EUI" sheetId="11" state="hidden" r:id="rId5"/>
    <sheet name="Drop Down Database" sheetId="12" state="hidden" r:id="rId6"/>
    <sheet name="Retrofit Data" sheetId="13" state="hidden" r:id="rId7"/>
    <sheet name="Retrofit Data - DES" sheetId="16" state="hidden" r:id="rId8"/>
  </sheets>
  <definedNames>
    <definedName name="_xlnm._FilterDatabase" localSheetId="6" hidden="1">'Retrofit Data'!$A$5:$AC$92</definedName>
    <definedName name="_xlnm._FilterDatabase" localSheetId="7" hidden="1">'Retrofit Data - DES'!$A$5:$AC$91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0" i="2" l="1"/>
  <c r="D235" i="5" l="1"/>
  <c r="C235" i="5"/>
  <c r="D226" i="5"/>
  <c r="C226" i="5"/>
  <c r="D217" i="5"/>
  <c r="C217" i="5"/>
  <c r="S45" i="16"/>
  <c r="R45" i="16"/>
  <c r="S44" i="16"/>
  <c r="R44" i="16"/>
  <c r="S43" i="16"/>
  <c r="R43" i="16"/>
  <c r="S42" i="16"/>
  <c r="R42" i="16"/>
  <c r="S41" i="16"/>
  <c r="R41" i="16"/>
  <c r="R40" i="16"/>
  <c r="S40" i="16"/>
  <c r="S65" i="16" l="1"/>
  <c r="R65" i="16"/>
  <c r="S64" i="16"/>
  <c r="R64" i="16"/>
  <c r="S63" i="16"/>
  <c r="R63" i="16"/>
  <c r="S62" i="16"/>
  <c r="R62" i="16"/>
  <c r="S61" i="16"/>
  <c r="R61" i="16"/>
  <c r="S51" i="16"/>
  <c r="R51" i="16"/>
  <c r="S50" i="16"/>
  <c r="R50" i="16"/>
  <c r="S49" i="16"/>
  <c r="R49" i="16"/>
  <c r="S48" i="16"/>
  <c r="R48" i="16"/>
  <c r="S47" i="16"/>
  <c r="R47" i="16"/>
  <c r="S67" i="16"/>
  <c r="R67" i="16"/>
  <c r="S66" i="16"/>
  <c r="R66" i="16"/>
  <c r="S60" i="16"/>
  <c r="R60" i="16"/>
  <c r="S59" i="16"/>
  <c r="R59" i="16"/>
  <c r="S58" i="16"/>
  <c r="R58" i="16"/>
  <c r="S57" i="16"/>
  <c r="R57" i="16"/>
  <c r="S46" i="16"/>
  <c r="R46" i="16"/>
  <c r="S39" i="16"/>
  <c r="R39" i="16"/>
  <c r="S38" i="16"/>
  <c r="R38" i="16"/>
  <c r="S37" i="16"/>
  <c r="R37" i="16"/>
  <c r="S36" i="16"/>
  <c r="R36" i="16"/>
  <c r="S35" i="16"/>
  <c r="R35" i="16"/>
  <c r="S34" i="16"/>
  <c r="R34" i="16"/>
  <c r="S33" i="16"/>
  <c r="R33" i="16"/>
  <c r="S32" i="16"/>
  <c r="R32" i="16"/>
  <c r="S31" i="16"/>
  <c r="R31" i="16"/>
  <c r="S30" i="16"/>
  <c r="R30" i="16"/>
  <c r="K91" i="16"/>
  <c r="J91" i="16"/>
  <c r="Y91" i="16" s="1"/>
  <c r="I91" i="16"/>
  <c r="B91" i="16"/>
  <c r="K83" i="16"/>
  <c r="J83" i="16"/>
  <c r="U83" i="16" s="1"/>
  <c r="I83" i="16"/>
  <c r="B83" i="16"/>
  <c r="K9" i="16"/>
  <c r="J9" i="16"/>
  <c r="Y9" i="16" s="1"/>
  <c r="I9" i="16"/>
  <c r="B9" i="16"/>
  <c r="K45" i="16"/>
  <c r="J45" i="16"/>
  <c r="U45" i="16" s="1"/>
  <c r="I45" i="16"/>
  <c r="B45" i="16"/>
  <c r="K67" i="16"/>
  <c r="J67" i="16"/>
  <c r="Y67" i="16" s="1"/>
  <c r="I67" i="16"/>
  <c r="B67" i="16"/>
  <c r="K65" i="16"/>
  <c r="J65" i="16"/>
  <c r="Y65" i="16" s="1"/>
  <c r="I65" i="16"/>
  <c r="B65" i="16"/>
  <c r="K33" i="16"/>
  <c r="J33" i="16"/>
  <c r="Y33" i="16" s="1"/>
  <c r="I33" i="16"/>
  <c r="B33" i="16"/>
  <c r="K29" i="16"/>
  <c r="J29" i="16"/>
  <c r="U29" i="16" s="1"/>
  <c r="I29" i="16"/>
  <c r="B29" i="16"/>
  <c r="K22" i="16"/>
  <c r="J22" i="16"/>
  <c r="Y22" i="16" s="1"/>
  <c r="I22" i="16"/>
  <c r="B22" i="16"/>
  <c r="K90" i="16"/>
  <c r="J90" i="16"/>
  <c r="U90" i="16" s="1"/>
  <c r="I90" i="16"/>
  <c r="B90" i="16"/>
  <c r="K82" i="16"/>
  <c r="J82" i="16"/>
  <c r="Y82" i="16" s="1"/>
  <c r="I82" i="16"/>
  <c r="B82" i="16"/>
  <c r="K8" i="16"/>
  <c r="J8" i="16"/>
  <c r="U8" i="16" s="1"/>
  <c r="I8" i="16"/>
  <c r="B8" i="16"/>
  <c r="K44" i="16"/>
  <c r="J44" i="16"/>
  <c r="Y44" i="16" s="1"/>
  <c r="I44" i="16"/>
  <c r="B44" i="16"/>
  <c r="K66" i="16"/>
  <c r="J66" i="16"/>
  <c r="Y66" i="16" s="1"/>
  <c r="I66" i="16"/>
  <c r="B66" i="16"/>
  <c r="K64" i="16"/>
  <c r="J64" i="16"/>
  <c r="U64" i="16" s="1"/>
  <c r="I64" i="16"/>
  <c r="B64" i="16"/>
  <c r="K32" i="16"/>
  <c r="J32" i="16"/>
  <c r="X32" i="16" s="1"/>
  <c r="I32" i="16"/>
  <c r="B32" i="16"/>
  <c r="K28" i="16"/>
  <c r="J28" i="16"/>
  <c r="Y28" i="16" s="1"/>
  <c r="I28" i="16"/>
  <c r="B28" i="16"/>
  <c r="K21" i="16"/>
  <c r="J21" i="16"/>
  <c r="U21" i="16" s="1"/>
  <c r="I21" i="16"/>
  <c r="B21" i="16"/>
  <c r="K89" i="16"/>
  <c r="J89" i="16"/>
  <c r="Y89" i="16" s="1"/>
  <c r="I89" i="16"/>
  <c r="B89" i="16"/>
  <c r="K81" i="16"/>
  <c r="J81" i="16"/>
  <c r="U81" i="16" s="1"/>
  <c r="I81" i="16"/>
  <c r="B81" i="16"/>
  <c r="K7" i="16"/>
  <c r="J7" i="16"/>
  <c r="Y7" i="16" s="1"/>
  <c r="I7" i="16"/>
  <c r="B7" i="16"/>
  <c r="K43" i="16"/>
  <c r="J43" i="16"/>
  <c r="U43" i="16" s="1"/>
  <c r="I43" i="16"/>
  <c r="B43" i="16"/>
  <c r="K60" i="16"/>
  <c r="J60" i="16"/>
  <c r="Y60" i="16" s="1"/>
  <c r="I60" i="16"/>
  <c r="B60" i="16"/>
  <c r="K50" i="16"/>
  <c r="J50" i="16"/>
  <c r="Y50" i="16" s="1"/>
  <c r="I50" i="16"/>
  <c r="B50" i="16"/>
  <c r="K55" i="16"/>
  <c r="J55" i="16"/>
  <c r="U55" i="16" s="1"/>
  <c r="I55" i="16"/>
  <c r="B55" i="16"/>
  <c r="K39" i="16"/>
  <c r="J39" i="16"/>
  <c r="U39" i="16" s="1"/>
  <c r="I39" i="16"/>
  <c r="B39" i="16"/>
  <c r="K27" i="16"/>
  <c r="J27" i="16"/>
  <c r="Y27" i="16" s="1"/>
  <c r="I27" i="16"/>
  <c r="B27" i="16"/>
  <c r="K20" i="16"/>
  <c r="J20" i="16"/>
  <c r="I20" i="16"/>
  <c r="B20" i="16"/>
  <c r="K88" i="16"/>
  <c r="J88" i="16"/>
  <c r="Y88" i="16" s="1"/>
  <c r="I88" i="16"/>
  <c r="B88" i="16"/>
  <c r="K80" i="16"/>
  <c r="J80" i="16"/>
  <c r="T80" i="16" s="1"/>
  <c r="I80" i="16"/>
  <c r="B80" i="16"/>
  <c r="K6" i="16"/>
  <c r="J6" i="16"/>
  <c r="I6" i="16"/>
  <c r="B6" i="16"/>
  <c r="K42" i="16"/>
  <c r="J42" i="16"/>
  <c r="Y42" i="16" s="1"/>
  <c r="I42" i="16"/>
  <c r="B42" i="16"/>
  <c r="K58" i="16"/>
  <c r="J58" i="16"/>
  <c r="U58" i="16" s="1"/>
  <c r="I58" i="16"/>
  <c r="B58" i="16"/>
  <c r="K48" i="16"/>
  <c r="J48" i="16"/>
  <c r="X48" i="16" s="1"/>
  <c r="I48" i="16"/>
  <c r="B48" i="16"/>
  <c r="K53" i="16"/>
  <c r="J53" i="16"/>
  <c r="I53" i="16"/>
  <c r="B53" i="16"/>
  <c r="K38" i="16"/>
  <c r="J38" i="16"/>
  <c r="Y38" i="16" s="1"/>
  <c r="I38" i="16"/>
  <c r="B38" i="16"/>
  <c r="K12" i="16"/>
  <c r="J12" i="16"/>
  <c r="U12" i="16" s="1"/>
  <c r="I12" i="16"/>
  <c r="B12" i="16"/>
  <c r="K19" i="16"/>
  <c r="J19" i="16"/>
  <c r="Y19" i="16" s="1"/>
  <c r="I19" i="16"/>
  <c r="B19" i="16"/>
  <c r="K87" i="16"/>
  <c r="J87" i="16"/>
  <c r="U87" i="16" s="1"/>
  <c r="I87" i="16"/>
  <c r="B87" i="16"/>
  <c r="K79" i="16"/>
  <c r="J79" i="16"/>
  <c r="Y79" i="16" s="1"/>
  <c r="I79" i="16"/>
  <c r="B79" i="16"/>
  <c r="K73" i="16"/>
  <c r="J73" i="16"/>
  <c r="U73" i="16" s="1"/>
  <c r="I73" i="16"/>
  <c r="B73" i="16"/>
  <c r="K41" i="16"/>
  <c r="J41" i="16"/>
  <c r="Y41" i="16" s="1"/>
  <c r="I41" i="16"/>
  <c r="B41" i="16"/>
  <c r="K59" i="16"/>
  <c r="J59" i="16"/>
  <c r="Y59" i="16" s="1"/>
  <c r="I59" i="16"/>
  <c r="B59" i="16"/>
  <c r="K49" i="16"/>
  <c r="J49" i="16"/>
  <c r="U49" i="16" s="1"/>
  <c r="I49" i="16"/>
  <c r="B49" i="16"/>
  <c r="K54" i="16"/>
  <c r="J54" i="16"/>
  <c r="I54" i="16"/>
  <c r="B54" i="16"/>
  <c r="K37" i="16"/>
  <c r="J37" i="16"/>
  <c r="Y37" i="16" s="1"/>
  <c r="I37" i="16"/>
  <c r="B37" i="16"/>
  <c r="K11" i="16"/>
  <c r="J11" i="16"/>
  <c r="U11" i="16" s="1"/>
  <c r="I11" i="16"/>
  <c r="B11" i="16"/>
  <c r="K18" i="16"/>
  <c r="J18" i="16"/>
  <c r="Y18" i="16" s="1"/>
  <c r="I18" i="16"/>
  <c r="B18" i="16"/>
  <c r="K78" i="16"/>
  <c r="J78" i="16"/>
  <c r="I78" i="16"/>
  <c r="B78" i="16"/>
  <c r="K72" i="16"/>
  <c r="J72" i="16"/>
  <c r="I72" i="16"/>
  <c r="B72" i="16"/>
  <c r="K63" i="16"/>
  <c r="J63" i="16"/>
  <c r="Y63" i="16" s="1"/>
  <c r="I63" i="16"/>
  <c r="B63" i="16"/>
  <c r="K31" i="16"/>
  <c r="J31" i="16"/>
  <c r="U31" i="16" s="1"/>
  <c r="I31" i="16"/>
  <c r="B31" i="16"/>
  <c r="K10" i="16"/>
  <c r="J10" i="16"/>
  <c r="Y10" i="16" s="1"/>
  <c r="I10" i="16"/>
  <c r="B10" i="16"/>
  <c r="K17" i="16"/>
  <c r="J17" i="16"/>
  <c r="T17" i="16" s="1"/>
  <c r="I17" i="16"/>
  <c r="B17" i="16"/>
  <c r="K86" i="16"/>
  <c r="J86" i="16"/>
  <c r="X86" i="16" s="1"/>
  <c r="I86" i="16"/>
  <c r="B86" i="16"/>
  <c r="K77" i="16"/>
  <c r="J77" i="16"/>
  <c r="U77" i="16" s="1"/>
  <c r="I77" i="16"/>
  <c r="B77" i="16"/>
  <c r="K71" i="16"/>
  <c r="J71" i="16"/>
  <c r="U71" i="16" s="1"/>
  <c r="I71" i="16"/>
  <c r="B71" i="16"/>
  <c r="K61" i="16"/>
  <c r="J61" i="16"/>
  <c r="Y61" i="16" s="1"/>
  <c r="I61" i="16"/>
  <c r="B61" i="16"/>
  <c r="K36" i="16"/>
  <c r="J36" i="16"/>
  <c r="U36" i="16" s="1"/>
  <c r="I36" i="16"/>
  <c r="B36" i="16"/>
  <c r="K26" i="16"/>
  <c r="J26" i="16"/>
  <c r="U26" i="16" s="1"/>
  <c r="I26" i="16"/>
  <c r="B26" i="16"/>
  <c r="K16" i="16"/>
  <c r="J16" i="16"/>
  <c r="Y16" i="16" s="1"/>
  <c r="I16" i="16"/>
  <c r="B16" i="16"/>
  <c r="K76" i="16"/>
  <c r="J76" i="16"/>
  <c r="U76" i="16" s="1"/>
  <c r="I76" i="16"/>
  <c r="B76" i="16"/>
  <c r="K70" i="16"/>
  <c r="J70" i="16"/>
  <c r="Y70" i="16" s="1"/>
  <c r="I70" i="16"/>
  <c r="B70" i="16"/>
  <c r="K62" i="16"/>
  <c r="J62" i="16"/>
  <c r="U62" i="16" s="1"/>
  <c r="I62" i="16"/>
  <c r="B62" i="16"/>
  <c r="K30" i="16"/>
  <c r="J30" i="16"/>
  <c r="Y30" i="16" s="1"/>
  <c r="I30" i="16"/>
  <c r="B30" i="16"/>
  <c r="K25" i="16"/>
  <c r="J25" i="16"/>
  <c r="X25" i="16" s="1"/>
  <c r="I25" i="16"/>
  <c r="B25" i="16"/>
  <c r="K15" i="16"/>
  <c r="J15" i="16"/>
  <c r="Y15" i="16" s="1"/>
  <c r="I15" i="16"/>
  <c r="B15" i="16"/>
  <c r="K75" i="16"/>
  <c r="J75" i="16"/>
  <c r="U75" i="16" s="1"/>
  <c r="I75" i="16"/>
  <c r="B75" i="16"/>
  <c r="K85" i="16"/>
  <c r="J85" i="16"/>
  <c r="X85" i="16" s="1"/>
  <c r="I85" i="16"/>
  <c r="B85" i="16"/>
  <c r="K69" i="16"/>
  <c r="J69" i="16"/>
  <c r="I69" i="16"/>
  <c r="B69" i="16"/>
  <c r="K40" i="16"/>
  <c r="J40" i="16"/>
  <c r="U40" i="16" s="1"/>
  <c r="I40" i="16"/>
  <c r="B40" i="16"/>
  <c r="K46" i="16"/>
  <c r="J46" i="16"/>
  <c r="Y46" i="16" s="1"/>
  <c r="I46" i="16"/>
  <c r="B46" i="16"/>
  <c r="K51" i="16"/>
  <c r="J51" i="16"/>
  <c r="Y51" i="16" s="1"/>
  <c r="I51" i="16"/>
  <c r="B51" i="16"/>
  <c r="K56" i="16"/>
  <c r="J56" i="16"/>
  <c r="U56" i="16" s="1"/>
  <c r="I56" i="16"/>
  <c r="B56" i="16"/>
  <c r="K35" i="16"/>
  <c r="J35" i="16"/>
  <c r="Y35" i="16" s="1"/>
  <c r="I35" i="16"/>
  <c r="B35" i="16"/>
  <c r="K24" i="16"/>
  <c r="J24" i="16"/>
  <c r="Y24" i="16" s="1"/>
  <c r="I24" i="16"/>
  <c r="B24" i="16"/>
  <c r="K14" i="16"/>
  <c r="J14" i="16"/>
  <c r="U14" i="16" s="1"/>
  <c r="I14" i="16"/>
  <c r="B14" i="16"/>
  <c r="K84" i="16"/>
  <c r="J84" i="16"/>
  <c r="Y84" i="16" s="1"/>
  <c r="I84" i="16"/>
  <c r="B84" i="16"/>
  <c r="K74" i="16"/>
  <c r="J74" i="16"/>
  <c r="U74" i="16" s="1"/>
  <c r="I74" i="16"/>
  <c r="B74" i="16"/>
  <c r="K68" i="16"/>
  <c r="J68" i="16"/>
  <c r="Y68" i="16" s="1"/>
  <c r="I68" i="16"/>
  <c r="B68" i="16"/>
  <c r="K57" i="16"/>
  <c r="J57" i="16"/>
  <c r="U57" i="16" s="1"/>
  <c r="I57" i="16"/>
  <c r="B57" i="16"/>
  <c r="K47" i="16"/>
  <c r="J47" i="16"/>
  <c r="Y47" i="16" s="1"/>
  <c r="I47" i="16"/>
  <c r="B47" i="16"/>
  <c r="K52" i="16"/>
  <c r="J52" i="16"/>
  <c r="I52" i="16"/>
  <c r="B52" i="16"/>
  <c r="K34" i="16"/>
  <c r="J34" i="16"/>
  <c r="U34" i="16" s="1"/>
  <c r="I34" i="16"/>
  <c r="B34" i="16"/>
  <c r="K23" i="16"/>
  <c r="J23" i="16"/>
  <c r="U23" i="16" s="1"/>
  <c r="I23" i="16"/>
  <c r="B23" i="16"/>
  <c r="U13" i="16"/>
  <c r="T13" i="16"/>
  <c r="K13" i="16"/>
  <c r="J13" i="16"/>
  <c r="Y13" i="16" s="1"/>
  <c r="I13" i="16"/>
  <c r="B13" i="16"/>
  <c r="B4" i="16" a="1"/>
  <c r="B4" i="16" s="1"/>
  <c r="R9" i="13"/>
  <c r="J10" i="13"/>
  <c r="J7" i="13"/>
  <c r="K7" i="13"/>
  <c r="F124" i="5" a="1"/>
  <c r="F124" i="5" s="1"/>
  <c r="F120" i="5" a="1"/>
  <c r="F120" i="5" s="1"/>
  <c r="I3" i="12" a="1"/>
  <c r="I3" i="12" s="1"/>
  <c r="W91" i="16" l="1"/>
  <c r="U70" i="16"/>
  <c r="W7" i="16"/>
  <c r="W70" i="16"/>
  <c r="T15" i="16"/>
  <c r="W53" i="16"/>
  <c r="V69" i="16"/>
  <c r="X13" i="16"/>
  <c r="Y52" i="16"/>
  <c r="W19" i="16"/>
  <c r="T28" i="16"/>
  <c r="Y53" i="16"/>
  <c r="X28" i="16"/>
  <c r="W17" i="16"/>
  <c r="T37" i="16"/>
  <c r="V53" i="16"/>
  <c r="T38" i="16"/>
  <c r="X45" i="16"/>
  <c r="V13" i="16"/>
  <c r="W23" i="16"/>
  <c r="Y85" i="16"/>
  <c r="W15" i="16"/>
  <c r="W24" i="16"/>
  <c r="V27" i="16"/>
  <c r="V65" i="16"/>
  <c r="T50" i="16"/>
  <c r="W32" i="16"/>
  <c r="X82" i="16"/>
  <c r="W22" i="16"/>
  <c r="W40" i="16"/>
  <c r="U50" i="16"/>
  <c r="W56" i="16"/>
  <c r="V71" i="16"/>
  <c r="T23" i="16"/>
  <c r="T70" i="16"/>
  <c r="V41" i="16"/>
  <c r="T7" i="16"/>
  <c r="W28" i="16"/>
  <c r="X64" i="16"/>
  <c r="W60" i="16"/>
  <c r="W26" i="16"/>
  <c r="Y32" i="16"/>
  <c r="Y64" i="16"/>
  <c r="W14" i="16"/>
  <c r="W33" i="16"/>
  <c r="W51" i="16"/>
  <c r="V61" i="16"/>
  <c r="T71" i="16"/>
  <c r="W79" i="16"/>
  <c r="W89" i="16"/>
  <c r="W57" i="16"/>
  <c r="T68" i="16"/>
  <c r="X14" i="16"/>
  <c r="Y69" i="16"/>
  <c r="X70" i="16"/>
  <c r="W16" i="16"/>
  <c r="V11" i="16"/>
  <c r="T79" i="16"/>
  <c r="U38" i="16"/>
  <c r="T89" i="16"/>
  <c r="V44" i="16"/>
  <c r="W74" i="16"/>
  <c r="X69" i="16"/>
  <c r="X79" i="16"/>
  <c r="V33" i="16"/>
  <c r="W35" i="16"/>
  <c r="T30" i="16"/>
  <c r="V72" i="16"/>
  <c r="Y54" i="16"/>
  <c r="T19" i="16"/>
  <c r="U28" i="16"/>
  <c r="W82" i="16"/>
  <c r="V9" i="16"/>
  <c r="W62" i="16"/>
  <c r="W71" i="16"/>
  <c r="V22" i="16"/>
  <c r="V68" i="16"/>
  <c r="T14" i="16"/>
  <c r="V40" i="16"/>
  <c r="X62" i="16"/>
  <c r="X68" i="16"/>
  <c r="T46" i="16"/>
  <c r="X61" i="16"/>
  <c r="W52" i="16"/>
  <c r="X57" i="16"/>
  <c r="V35" i="16"/>
  <c r="X56" i="16"/>
  <c r="U51" i="16"/>
  <c r="U46" i="16"/>
  <c r="T25" i="16"/>
  <c r="T36" i="16"/>
  <c r="U19" i="16"/>
  <c r="X53" i="16"/>
  <c r="V48" i="16"/>
  <c r="T42" i="16"/>
  <c r="X81" i="16"/>
  <c r="V28" i="16"/>
  <c r="T82" i="16"/>
  <c r="W9" i="16"/>
  <c r="V56" i="16"/>
  <c r="W68" i="16"/>
  <c r="W30" i="16"/>
  <c r="X71" i="16"/>
  <c r="W84" i="16"/>
  <c r="T51" i="16"/>
  <c r="W25" i="16"/>
  <c r="T47" i="16"/>
  <c r="W37" i="16"/>
  <c r="X19" i="16"/>
  <c r="W38" i="16"/>
  <c r="X58" i="16"/>
  <c r="V20" i="16"/>
  <c r="X55" i="16"/>
  <c r="T64" i="16"/>
  <c r="U82" i="16"/>
  <c r="V34" i="16"/>
  <c r="T52" i="16"/>
  <c r="U47" i="16"/>
  <c r="W59" i="16"/>
  <c r="T53" i="16"/>
  <c r="W66" i="16"/>
  <c r="W65" i="16"/>
  <c r="X9" i="16"/>
  <c r="W13" i="16"/>
  <c r="AA13" i="16" s="1"/>
  <c r="X23" i="16"/>
  <c r="X34" i="16"/>
  <c r="U52" i="16"/>
  <c r="V84" i="16"/>
  <c r="U15" i="16"/>
  <c r="Y25" i="16"/>
  <c r="U30" i="16"/>
  <c r="V70" i="16"/>
  <c r="X26" i="16"/>
  <c r="X36" i="16"/>
  <c r="W63" i="16"/>
  <c r="V18" i="16"/>
  <c r="T11" i="16"/>
  <c r="W54" i="16"/>
  <c r="V59" i="16"/>
  <c r="T73" i="16"/>
  <c r="U79" i="16"/>
  <c r="T87" i="16"/>
  <c r="V38" i="16"/>
  <c r="U53" i="16"/>
  <c r="Y58" i="16"/>
  <c r="U42" i="16"/>
  <c r="W80" i="16"/>
  <c r="W55" i="16"/>
  <c r="V66" i="16"/>
  <c r="T8" i="16"/>
  <c r="X22" i="16"/>
  <c r="T91" i="16"/>
  <c r="V75" i="16"/>
  <c r="V15" i="16"/>
  <c r="V30" i="16"/>
  <c r="Y36" i="16"/>
  <c r="V63" i="16"/>
  <c r="X54" i="16"/>
  <c r="X73" i="16"/>
  <c r="V79" i="16"/>
  <c r="X87" i="16"/>
  <c r="V19" i="16"/>
  <c r="W27" i="16"/>
  <c r="X8" i="16"/>
  <c r="V82" i="16"/>
  <c r="U91" i="16"/>
  <c r="AA91" i="16" s="1"/>
  <c r="W69" i="16"/>
  <c r="X75" i="16"/>
  <c r="T16" i="16"/>
  <c r="Y71" i="16"/>
  <c r="X18" i="16"/>
  <c r="U37" i="16"/>
  <c r="AA37" i="16" s="1"/>
  <c r="T49" i="16"/>
  <c r="T59" i="16"/>
  <c r="Y73" i="16"/>
  <c r="Y87" i="16"/>
  <c r="X27" i="16"/>
  <c r="T39" i="16"/>
  <c r="Y55" i="16"/>
  <c r="U7" i="16"/>
  <c r="T81" i="16"/>
  <c r="U89" i="16"/>
  <c r="T66" i="16"/>
  <c r="U44" i="16"/>
  <c r="Y8" i="16"/>
  <c r="V91" i="16"/>
  <c r="T69" i="16"/>
  <c r="T31" i="16"/>
  <c r="T63" i="16"/>
  <c r="V37" i="16"/>
  <c r="X49" i="16"/>
  <c r="U59" i="16"/>
  <c r="W41" i="16"/>
  <c r="X39" i="16"/>
  <c r="T55" i="16"/>
  <c r="V7" i="16"/>
  <c r="V89" i="16"/>
  <c r="U66" i="16"/>
  <c r="W67" i="16"/>
  <c r="T9" i="16"/>
  <c r="U68" i="16"/>
  <c r="T24" i="16"/>
  <c r="T35" i="16"/>
  <c r="U69" i="16"/>
  <c r="X31" i="16"/>
  <c r="U63" i="16"/>
  <c r="Y39" i="16"/>
  <c r="Y43" i="16"/>
  <c r="Y81" i="16"/>
  <c r="T22" i="16"/>
  <c r="T33" i="16"/>
  <c r="U9" i="16"/>
  <c r="X91" i="16"/>
  <c r="X52" i="16"/>
  <c r="X24" i="16"/>
  <c r="U35" i="16"/>
  <c r="V62" i="16"/>
  <c r="V36" i="16"/>
  <c r="W61" i="16"/>
  <c r="W78" i="16"/>
  <c r="V42" i="16"/>
  <c r="V55" i="16"/>
  <c r="X7" i="16"/>
  <c r="X89" i="16"/>
  <c r="U22" i="16"/>
  <c r="T29" i="16"/>
  <c r="U33" i="16"/>
  <c r="T65" i="16"/>
  <c r="T45" i="16"/>
  <c r="U54" i="16"/>
  <c r="T54" i="16"/>
  <c r="W90" i="16"/>
  <c r="V90" i="16"/>
  <c r="U67" i="16"/>
  <c r="T67" i="16"/>
  <c r="V23" i="16"/>
  <c r="Y34" i="16"/>
  <c r="V47" i="16"/>
  <c r="X84" i="16"/>
  <c r="V14" i="16"/>
  <c r="Y56" i="16"/>
  <c r="V46" i="16"/>
  <c r="Y40" i="16"/>
  <c r="Y75" i="16"/>
  <c r="Y62" i="16"/>
  <c r="T76" i="16"/>
  <c r="Y26" i="16"/>
  <c r="T77" i="16"/>
  <c r="Y17" i="16"/>
  <c r="X17" i="16"/>
  <c r="Y31" i="16"/>
  <c r="U72" i="16"/>
  <c r="T72" i="16"/>
  <c r="Y49" i="16"/>
  <c r="X41" i="16"/>
  <c r="W12" i="16"/>
  <c r="V12" i="16"/>
  <c r="Y80" i="16"/>
  <c r="X80" i="16"/>
  <c r="V50" i="16"/>
  <c r="T21" i="16"/>
  <c r="U32" i="16"/>
  <c r="T32" i="16"/>
  <c r="W44" i="16"/>
  <c r="T90" i="16"/>
  <c r="Y45" i="16"/>
  <c r="T83" i="16"/>
  <c r="W87" i="16"/>
  <c r="V87" i="16"/>
  <c r="U6" i="16"/>
  <c r="T6" i="16"/>
  <c r="W21" i="16"/>
  <c r="V21" i="16"/>
  <c r="W83" i="16"/>
  <c r="V83" i="16"/>
  <c r="W34" i="16"/>
  <c r="W47" i="16"/>
  <c r="T74" i="16"/>
  <c r="W46" i="16"/>
  <c r="T85" i="16"/>
  <c r="V76" i="16"/>
  <c r="V86" i="16"/>
  <c r="U10" i="16"/>
  <c r="T10" i="16"/>
  <c r="Y78" i="16"/>
  <c r="X78" i="16"/>
  <c r="T12" i="16"/>
  <c r="V6" i="16"/>
  <c r="U88" i="16"/>
  <c r="T88" i="16"/>
  <c r="W50" i="16"/>
  <c r="V60" i="16"/>
  <c r="W43" i="16"/>
  <c r="V43" i="16"/>
  <c r="X21" i="16"/>
  <c r="X44" i="16"/>
  <c r="X90" i="16"/>
  <c r="W29" i="16"/>
  <c r="V29" i="16"/>
  <c r="U65" i="16"/>
  <c r="X83" i="16"/>
  <c r="W77" i="16"/>
  <c r="AA77" i="16" s="1"/>
  <c r="X47" i="16"/>
  <c r="W76" i="16"/>
  <c r="W86" i="16"/>
  <c r="X12" i="16"/>
  <c r="W58" i="16"/>
  <c r="V58" i="16"/>
  <c r="Y20" i="16"/>
  <c r="X20" i="16"/>
  <c r="X50" i="16"/>
  <c r="Y21" i="16"/>
  <c r="Y90" i="16"/>
  <c r="Y83" i="16"/>
  <c r="Y23" i="16"/>
  <c r="V52" i="16"/>
  <c r="T57" i="16"/>
  <c r="Y14" i="16"/>
  <c r="U24" i="16"/>
  <c r="X35" i="16"/>
  <c r="V51" i="16"/>
  <c r="T40" i="16"/>
  <c r="V85" i="16"/>
  <c r="W75" i="16"/>
  <c r="AA75" i="16" s="1"/>
  <c r="X15" i="16"/>
  <c r="U25" i="16"/>
  <c r="X30" i="16"/>
  <c r="X76" i="16"/>
  <c r="U16" i="16"/>
  <c r="U17" i="16"/>
  <c r="V10" i="16"/>
  <c r="W31" i="16"/>
  <c r="V31" i="16"/>
  <c r="W72" i="16"/>
  <c r="T78" i="16"/>
  <c r="Y11" i="16"/>
  <c r="X11" i="16"/>
  <c r="V54" i="16"/>
  <c r="W49" i="16"/>
  <c r="V49" i="16"/>
  <c r="Y12" i="16"/>
  <c r="W48" i="16"/>
  <c r="X6" i="16"/>
  <c r="U80" i="16"/>
  <c r="V88" i="16"/>
  <c r="W20" i="16"/>
  <c r="U27" i="16"/>
  <c r="T27" i="16"/>
  <c r="X60" i="16"/>
  <c r="X29" i="16"/>
  <c r="V67" i="16"/>
  <c r="W45" i="16"/>
  <c r="V45" i="16"/>
  <c r="Y77" i="16"/>
  <c r="X77" i="16"/>
  <c r="Y57" i="16"/>
  <c r="X40" i="16"/>
  <c r="U86" i="16"/>
  <c r="T86" i="16"/>
  <c r="X46" i="16"/>
  <c r="U85" i="16"/>
  <c r="T34" i="16"/>
  <c r="V57" i="16"/>
  <c r="X74" i="16"/>
  <c r="T84" i="16"/>
  <c r="V24" i="16"/>
  <c r="T56" i="16"/>
  <c r="X51" i="16"/>
  <c r="W85" i="16"/>
  <c r="T75" i="16"/>
  <c r="V25" i="16"/>
  <c r="T62" i="16"/>
  <c r="Y76" i="16"/>
  <c r="V16" i="16"/>
  <c r="T26" i="16"/>
  <c r="T61" i="16"/>
  <c r="Y86" i="16"/>
  <c r="V17" i="16"/>
  <c r="W10" i="16"/>
  <c r="X72" i="16"/>
  <c r="U78" i="16"/>
  <c r="W11" i="16"/>
  <c r="X37" i="16"/>
  <c r="T41" i="16"/>
  <c r="W73" i="16"/>
  <c r="V73" i="16"/>
  <c r="Y6" i="16"/>
  <c r="V80" i="16"/>
  <c r="W88" i="16"/>
  <c r="T20" i="16"/>
  <c r="T43" i="16"/>
  <c r="V32" i="16"/>
  <c r="W64" i="16"/>
  <c r="V64" i="16"/>
  <c r="Y29" i="16"/>
  <c r="X65" i="16"/>
  <c r="U48" i="16"/>
  <c r="T48" i="16"/>
  <c r="Z48" i="16" s="1"/>
  <c r="V74" i="16"/>
  <c r="V77" i="16"/>
  <c r="U18" i="16"/>
  <c r="T18" i="16"/>
  <c r="W6" i="16"/>
  <c r="Y74" i="16"/>
  <c r="U84" i="16"/>
  <c r="X16" i="16"/>
  <c r="V26" i="16"/>
  <c r="W36" i="16"/>
  <c r="U61" i="16"/>
  <c r="X10" i="16"/>
  <c r="Y72" i="16"/>
  <c r="V78" i="16"/>
  <c r="W18" i="16"/>
  <c r="U41" i="16"/>
  <c r="AA41" i="16" s="1"/>
  <c r="Y48" i="16"/>
  <c r="T58" i="16"/>
  <c r="W42" i="16"/>
  <c r="X88" i="16"/>
  <c r="U20" i="16"/>
  <c r="W39" i="16"/>
  <c r="V39" i="16"/>
  <c r="U60" i="16"/>
  <c r="T60" i="16"/>
  <c r="X43" i="16"/>
  <c r="W81" i="16"/>
  <c r="V81" i="16"/>
  <c r="T44" i="16"/>
  <c r="W8" i="16"/>
  <c r="V8" i="16"/>
  <c r="X67" i="16"/>
  <c r="X63" i="16"/>
  <c r="X59" i="16"/>
  <c r="X38" i="16"/>
  <c r="X42" i="16"/>
  <c r="X66" i="16"/>
  <c r="X33" i="16"/>
  <c r="AA70" i="16" l="1"/>
  <c r="Z80" i="16"/>
  <c r="AA31" i="16"/>
  <c r="AA7" i="16"/>
  <c r="Z56" i="16"/>
  <c r="Z37" i="16"/>
  <c r="AA24" i="16"/>
  <c r="AA74" i="16"/>
  <c r="AA60" i="16"/>
  <c r="Z8" i="16"/>
  <c r="AA47" i="16"/>
  <c r="AA26" i="16"/>
  <c r="AA49" i="16"/>
  <c r="AA50" i="16"/>
  <c r="AA33" i="16"/>
  <c r="Z69" i="16"/>
  <c r="AA30" i="16"/>
  <c r="AA71" i="16"/>
  <c r="AA67" i="16"/>
  <c r="Z13" i="16"/>
  <c r="AA73" i="16"/>
  <c r="AA56" i="16"/>
  <c r="AA22" i="16"/>
  <c r="AA66" i="16"/>
  <c r="Z35" i="16"/>
  <c r="AA32" i="16"/>
  <c r="AA53" i="16"/>
  <c r="Z15" i="16"/>
  <c r="Z87" i="16"/>
  <c r="AA25" i="16"/>
  <c r="Z25" i="16"/>
  <c r="AA57" i="16"/>
  <c r="Z27" i="16"/>
  <c r="AA65" i="16"/>
  <c r="Z64" i="16"/>
  <c r="AA58" i="16"/>
  <c r="Z89" i="16"/>
  <c r="Z19" i="16"/>
  <c r="Z53" i="16"/>
  <c r="AA28" i="16"/>
  <c r="AA81" i="16"/>
  <c r="AA64" i="16"/>
  <c r="Z70" i="16"/>
  <c r="AA19" i="16"/>
  <c r="Z7" i="16"/>
  <c r="AA14" i="16"/>
  <c r="AA43" i="16"/>
  <c r="AA15" i="16"/>
  <c r="Z28" i="16"/>
  <c r="Z34" i="16"/>
  <c r="AA27" i="16"/>
  <c r="AA23" i="16"/>
  <c r="AA34" i="16"/>
  <c r="AA45" i="16"/>
  <c r="AA36" i="16"/>
  <c r="Z61" i="16"/>
  <c r="AA42" i="16"/>
  <c r="Z41" i="16"/>
  <c r="Z17" i="16"/>
  <c r="AA12" i="16"/>
  <c r="AA55" i="16"/>
  <c r="Z68" i="16"/>
  <c r="Z14" i="16"/>
  <c r="AA61" i="16"/>
  <c r="Z49" i="16"/>
  <c r="Z52" i="16"/>
  <c r="Z79" i="16"/>
  <c r="Z31" i="16"/>
  <c r="AA68" i="16"/>
  <c r="AA51" i="16"/>
  <c r="AA82" i="16"/>
  <c r="Z23" i="16"/>
  <c r="Z38" i="16"/>
  <c r="AA52" i="16"/>
  <c r="Z44" i="16"/>
  <c r="AA40" i="16"/>
  <c r="Z60" i="16"/>
  <c r="AA89" i="16"/>
  <c r="Z71" i="16"/>
  <c r="Z33" i="16"/>
  <c r="AA8" i="16"/>
  <c r="Z39" i="16"/>
  <c r="AA84" i="16"/>
  <c r="Z24" i="16"/>
  <c r="Z45" i="16"/>
  <c r="Z11" i="16"/>
  <c r="AA16" i="16"/>
  <c r="Z50" i="16"/>
  <c r="Z36" i="16"/>
  <c r="AA9" i="16"/>
  <c r="AA69" i="16"/>
  <c r="Z82" i="16"/>
  <c r="AA79" i="16"/>
  <c r="AA38" i="16"/>
  <c r="Z43" i="16"/>
  <c r="Z66" i="16"/>
  <c r="AA39" i="16"/>
  <c r="Z65" i="16"/>
  <c r="Z46" i="16"/>
  <c r="AA62" i="16"/>
  <c r="Z47" i="16"/>
  <c r="AA54" i="16"/>
  <c r="Z55" i="16"/>
  <c r="Z20" i="16"/>
  <c r="AA87" i="16"/>
  <c r="Z42" i="16"/>
  <c r="Z81" i="16"/>
  <c r="Z62" i="16"/>
  <c r="Z30" i="16"/>
  <c r="AA35" i="16"/>
  <c r="Z18" i="16"/>
  <c r="AA46" i="16"/>
  <c r="Z75" i="16"/>
  <c r="AA44" i="16"/>
  <c r="Z9" i="16"/>
  <c r="Z29" i="16"/>
  <c r="Z88" i="16"/>
  <c r="Z22" i="16"/>
  <c r="AA78" i="16"/>
  <c r="AA88" i="16"/>
  <c r="AA83" i="16"/>
  <c r="AA20" i="16"/>
  <c r="AA80" i="16"/>
  <c r="AA11" i="16"/>
  <c r="AA76" i="16"/>
  <c r="Z21" i="16"/>
  <c r="Z73" i="16"/>
  <c r="Z86" i="16"/>
  <c r="Z78" i="16"/>
  <c r="Z12" i="16"/>
  <c r="AA21" i="16"/>
  <c r="AA59" i="16"/>
  <c r="AA90" i="16"/>
  <c r="AA63" i="16"/>
  <c r="Z59" i="16"/>
  <c r="AA18" i="16"/>
  <c r="Z63" i="16"/>
  <c r="Z58" i="16"/>
  <c r="Z72" i="16"/>
  <c r="Z91" i="16"/>
  <c r="AA72" i="16"/>
  <c r="AA86" i="16"/>
  <c r="Z32" i="16"/>
  <c r="Z54" i="16"/>
  <c r="Z57" i="16"/>
  <c r="Z85" i="16"/>
  <c r="Z83" i="16"/>
  <c r="Z6" i="16"/>
  <c r="Z26" i="16"/>
  <c r="Z74" i="16"/>
  <c r="AA6" i="16"/>
  <c r="Z77" i="16"/>
  <c r="Z67" i="16"/>
  <c r="AA29" i="16"/>
  <c r="AA48" i="16"/>
  <c r="Z16" i="16"/>
  <c r="AA17" i="16"/>
  <c r="Z40" i="16"/>
  <c r="AA10" i="16"/>
  <c r="Z84" i="16"/>
  <c r="AA85" i="16"/>
  <c r="Z51" i="16"/>
  <c r="Z10" i="16"/>
  <c r="Z90" i="16"/>
  <c r="Z76" i="16"/>
  <c r="K63" i="2" l="1"/>
  <c r="F7" i="11"/>
  <c r="F8" i="11"/>
  <c r="F9" i="11"/>
  <c r="F10" i="11"/>
  <c r="F11" i="11"/>
  <c r="F13" i="11"/>
  <c r="F14" i="11"/>
  <c r="F15" i="11"/>
  <c r="F16" i="11"/>
  <c r="F12" i="11"/>
  <c r="D7" i="5"/>
  <c r="D8" i="5" s="1"/>
  <c r="Q68" i="13"/>
  <c r="P68" i="13"/>
  <c r="Q58" i="13"/>
  <c r="P58" i="13"/>
  <c r="Q48" i="13"/>
  <c r="P48" i="13"/>
  <c r="Q19" i="13"/>
  <c r="P19" i="13"/>
  <c r="Q10" i="13"/>
  <c r="P10" i="13"/>
  <c r="U7" i="13" l="1"/>
  <c r="T7" i="13"/>
  <c r="B3" i="12" a="1"/>
  <c r="B3" i="12" s="1"/>
  <c r="R88" i="13"/>
  <c r="R79" i="13"/>
  <c r="R70" i="13"/>
  <c r="R60" i="13"/>
  <c r="R50" i="13"/>
  <c r="R21" i="13"/>
  <c r="S88" i="13"/>
  <c r="S79" i="13"/>
  <c r="S70" i="13"/>
  <c r="S60" i="13"/>
  <c r="S50" i="13"/>
  <c r="S21" i="13"/>
  <c r="S12" i="13"/>
  <c r="R12" i="13"/>
  <c r="D32" i="5" l="1"/>
  <c r="K36" i="2" s="1"/>
  <c r="D31" i="5" l="1"/>
  <c r="S89" i="13"/>
  <c r="R89" i="13"/>
  <c r="S80" i="13"/>
  <c r="R80" i="13"/>
  <c r="S71" i="13"/>
  <c r="R71" i="13"/>
  <c r="S61" i="13"/>
  <c r="R61" i="13"/>
  <c r="S51" i="13"/>
  <c r="R51" i="13"/>
  <c r="S22" i="13"/>
  <c r="R22" i="13"/>
  <c r="S47" i="13" l="1"/>
  <c r="R87" i="13" l="1"/>
  <c r="R86" i="13"/>
  <c r="R78" i="13"/>
  <c r="R77" i="13"/>
  <c r="R69" i="13"/>
  <c r="R67" i="13"/>
  <c r="R59" i="13"/>
  <c r="R57" i="13"/>
  <c r="R49" i="13"/>
  <c r="R47" i="13"/>
  <c r="R42" i="13"/>
  <c r="R41" i="13"/>
  <c r="R35" i="13"/>
  <c r="R34" i="13"/>
  <c r="R29" i="13"/>
  <c r="R28" i="13"/>
  <c r="R20" i="13"/>
  <c r="R18" i="13"/>
  <c r="R11" i="13"/>
  <c r="S9" i="13"/>
  <c r="D33" i="5" l="1"/>
  <c r="D34" i="5" s="1"/>
  <c r="D35" i="5" s="1"/>
  <c r="D40" i="5"/>
  <c r="D37" i="5"/>
  <c r="F58" i="2"/>
  <c r="K88" i="2"/>
  <c r="K81" i="2"/>
  <c r="K75" i="2"/>
  <c r="K69" i="2"/>
  <c r="R43" i="2"/>
  <c r="S43" i="2"/>
  <c r="W44" i="2"/>
  <c r="V44" i="2"/>
  <c r="U44" i="2"/>
  <c r="T44" i="2"/>
  <c r="S44" i="2"/>
  <c r="R44" i="2"/>
  <c r="F64" i="2"/>
  <c r="D71" i="5"/>
  <c r="D70" i="5"/>
  <c r="B4" i="13" a="1"/>
  <c r="B4" i="13" s="1"/>
  <c r="S35" i="13" l="1"/>
  <c r="S69" i="13"/>
  <c r="S59" i="13"/>
  <c r="S49" i="13"/>
  <c r="S42" i="13"/>
  <c r="S29" i="13"/>
  <c r="S20" i="13"/>
  <c r="S57" i="13" l="1"/>
  <c r="S67" i="13"/>
  <c r="S41" i="13"/>
  <c r="S28" i="13"/>
  <c r="S34" i="13"/>
  <c r="S18" i="13"/>
  <c r="S11" i="13"/>
  <c r="J8" i="13"/>
  <c r="X8" i="13" s="1"/>
  <c r="K8" i="13"/>
  <c r="J9" i="13"/>
  <c r="X9" i="13" s="1"/>
  <c r="K9" i="13"/>
  <c r="K10" i="13"/>
  <c r="J11" i="13"/>
  <c r="X11" i="13" s="1"/>
  <c r="K11" i="13"/>
  <c r="J12" i="13"/>
  <c r="X12" i="13" s="1"/>
  <c r="K12" i="13"/>
  <c r="J13" i="13"/>
  <c r="X13" i="13" s="1"/>
  <c r="K13" i="13"/>
  <c r="J14" i="13"/>
  <c r="X14" i="13" s="1"/>
  <c r="K14" i="13"/>
  <c r="J15" i="13"/>
  <c r="X15" i="13" s="1"/>
  <c r="K15" i="13"/>
  <c r="J16" i="13"/>
  <c r="X16" i="13" s="1"/>
  <c r="K16" i="13"/>
  <c r="J17" i="13"/>
  <c r="X17" i="13" s="1"/>
  <c r="K17" i="13"/>
  <c r="J18" i="13"/>
  <c r="X18" i="13" s="1"/>
  <c r="K18" i="13"/>
  <c r="J19" i="13"/>
  <c r="K19" i="13"/>
  <c r="J20" i="13"/>
  <c r="X20" i="13" s="1"/>
  <c r="K20" i="13"/>
  <c r="J21" i="13"/>
  <c r="X21" i="13" s="1"/>
  <c r="K21" i="13"/>
  <c r="J22" i="13"/>
  <c r="X22" i="13" s="1"/>
  <c r="K22" i="13"/>
  <c r="J23" i="13"/>
  <c r="X23" i="13" s="1"/>
  <c r="K23" i="13"/>
  <c r="J24" i="13"/>
  <c r="X24" i="13" s="1"/>
  <c r="K24" i="13"/>
  <c r="J25" i="13"/>
  <c r="X25" i="13" s="1"/>
  <c r="K25" i="13"/>
  <c r="J26" i="13"/>
  <c r="X26" i="13" s="1"/>
  <c r="K26" i="13"/>
  <c r="J27" i="13"/>
  <c r="X27" i="13" s="1"/>
  <c r="K27" i="13"/>
  <c r="J28" i="13"/>
  <c r="X28" i="13" s="1"/>
  <c r="K28" i="13"/>
  <c r="J29" i="13"/>
  <c r="X29" i="13" s="1"/>
  <c r="K29" i="13"/>
  <c r="J30" i="13"/>
  <c r="X30" i="13" s="1"/>
  <c r="K30" i="13"/>
  <c r="J31" i="13"/>
  <c r="X31" i="13" s="1"/>
  <c r="K31" i="13"/>
  <c r="J32" i="13"/>
  <c r="X32" i="13" s="1"/>
  <c r="K32" i="13"/>
  <c r="J33" i="13"/>
  <c r="X33" i="13" s="1"/>
  <c r="K33" i="13"/>
  <c r="J34" i="13"/>
  <c r="X34" i="13" s="1"/>
  <c r="K34" i="13"/>
  <c r="J35" i="13"/>
  <c r="X35" i="13" s="1"/>
  <c r="K35" i="13"/>
  <c r="J36" i="13"/>
  <c r="X36" i="13" s="1"/>
  <c r="K36" i="13"/>
  <c r="J37" i="13"/>
  <c r="X37" i="13" s="1"/>
  <c r="K37" i="13"/>
  <c r="J38" i="13"/>
  <c r="X38" i="13" s="1"/>
  <c r="K38" i="13"/>
  <c r="J39" i="13"/>
  <c r="X39" i="13" s="1"/>
  <c r="K39" i="13"/>
  <c r="J40" i="13"/>
  <c r="X40" i="13" s="1"/>
  <c r="K40" i="13"/>
  <c r="J41" i="13"/>
  <c r="X41" i="13" s="1"/>
  <c r="K41" i="13"/>
  <c r="J42" i="13"/>
  <c r="X42" i="13" s="1"/>
  <c r="K42" i="13"/>
  <c r="J43" i="13"/>
  <c r="X43" i="13" s="1"/>
  <c r="K43" i="13"/>
  <c r="J44" i="13"/>
  <c r="X44" i="13" s="1"/>
  <c r="K44" i="13"/>
  <c r="J45" i="13"/>
  <c r="X45" i="13" s="1"/>
  <c r="K45" i="13"/>
  <c r="J46" i="13"/>
  <c r="X46" i="13" s="1"/>
  <c r="K46" i="13"/>
  <c r="J47" i="13"/>
  <c r="X47" i="13" s="1"/>
  <c r="K47" i="13"/>
  <c r="J48" i="13"/>
  <c r="K48" i="13"/>
  <c r="J49" i="13"/>
  <c r="X49" i="13" s="1"/>
  <c r="K49" i="13"/>
  <c r="J50" i="13"/>
  <c r="X50" i="13" s="1"/>
  <c r="K50" i="13"/>
  <c r="J51" i="13"/>
  <c r="X51" i="13" s="1"/>
  <c r="K51" i="13"/>
  <c r="J52" i="13"/>
  <c r="X52" i="13" s="1"/>
  <c r="K52" i="13"/>
  <c r="J53" i="13"/>
  <c r="X53" i="13" s="1"/>
  <c r="K53" i="13"/>
  <c r="J54" i="13"/>
  <c r="X54" i="13" s="1"/>
  <c r="K54" i="13"/>
  <c r="J55" i="13"/>
  <c r="X55" i="13" s="1"/>
  <c r="K55" i="13"/>
  <c r="J56" i="13"/>
  <c r="X56" i="13" s="1"/>
  <c r="K56" i="13"/>
  <c r="J57" i="13"/>
  <c r="X57" i="13" s="1"/>
  <c r="K57" i="13"/>
  <c r="J58" i="13"/>
  <c r="K58" i="13"/>
  <c r="J59" i="13"/>
  <c r="X59" i="13" s="1"/>
  <c r="K59" i="13"/>
  <c r="J60" i="13"/>
  <c r="X60" i="13" s="1"/>
  <c r="K60" i="13"/>
  <c r="J61" i="13"/>
  <c r="X61" i="13" s="1"/>
  <c r="K61" i="13"/>
  <c r="J62" i="13"/>
  <c r="X62" i="13" s="1"/>
  <c r="K62" i="13"/>
  <c r="J63" i="13"/>
  <c r="X63" i="13" s="1"/>
  <c r="K63" i="13"/>
  <c r="J64" i="13"/>
  <c r="X64" i="13" s="1"/>
  <c r="K64" i="13"/>
  <c r="J65" i="13"/>
  <c r="X65" i="13" s="1"/>
  <c r="K65" i="13"/>
  <c r="J66" i="13"/>
  <c r="X66" i="13" s="1"/>
  <c r="K66" i="13"/>
  <c r="J67" i="13"/>
  <c r="X67" i="13" s="1"/>
  <c r="K67" i="13"/>
  <c r="J68" i="13"/>
  <c r="K68" i="13"/>
  <c r="J69" i="13"/>
  <c r="X69" i="13" s="1"/>
  <c r="K69" i="13"/>
  <c r="J70" i="13"/>
  <c r="X70" i="13" s="1"/>
  <c r="K70" i="13"/>
  <c r="J71" i="13"/>
  <c r="X71" i="13" s="1"/>
  <c r="K71" i="13"/>
  <c r="J72" i="13"/>
  <c r="X72" i="13" s="1"/>
  <c r="K72" i="13"/>
  <c r="J73" i="13"/>
  <c r="X73" i="13" s="1"/>
  <c r="K73" i="13"/>
  <c r="J74" i="13"/>
  <c r="X74" i="13" s="1"/>
  <c r="K74" i="13"/>
  <c r="J75" i="13"/>
  <c r="X75" i="13" s="1"/>
  <c r="K75" i="13"/>
  <c r="J76" i="13"/>
  <c r="X76" i="13" s="1"/>
  <c r="K76" i="13"/>
  <c r="J77" i="13"/>
  <c r="X77" i="13" s="1"/>
  <c r="K77" i="13"/>
  <c r="J78" i="13"/>
  <c r="X78" i="13" s="1"/>
  <c r="K78" i="13"/>
  <c r="J79" i="13"/>
  <c r="X79" i="13" s="1"/>
  <c r="K79" i="13"/>
  <c r="J80" i="13"/>
  <c r="X80" i="13" s="1"/>
  <c r="K80" i="13"/>
  <c r="J81" i="13"/>
  <c r="X81" i="13" s="1"/>
  <c r="K81" i="13"/>
  <c r="J82" i="13"/>
  <c r="X82" i="13" s="1"/>
  <c r="K82" i="13"/>
  <c r="J83" i="13"/>
  <c r="X83" i="13" s="1"/>
  <c r="K83" i="13"/>
  <c r="J84" i="13"/>
  <c r="X84" i="13" s="1"/>
  <c r="K84" i="13"/>
  <c r="J85" i="13"/>
  <c r="X85" i="13" s="1"/>
  <c r="K85" i="13"/>
  <c r="J86" i="13"/>
  <c r="X86" i="13" s="1"/>
  <c r="K86" i="13"/>
  <c r="J87" i="13"/>
  <c r="X87" i="13" s="1"/>
  <c r="K87" i="13"/>
  <c r="J88" i="13"/>
  <c r="X88" i="13" s="1"/>
  <c r="K88" i="13"/>
  <c r="J89" i="13"/>
  <c r="X89" i="13" s="1"/>
  <c r="K89" i="13"/>
  <c r="J90" i="13"/>
  <c r="X90" i="13" s="1"/>
  <c r="K90" i="13"/>
  <c r="J91" i="13"/>
  <c r="X91" i="13" s="1"/>
  <c r="K91" i="13"/>
  <c r="J92" i="13"/>
  <c r="X92" i="13" s="1"/>
  <c r="K92" i="13"/>
  <c r="S78" i="13"/>
  <c r="S77" i="13"/>
  <c r="X7" i="13"/>
  <c r="S87" i="13"/>
  <c r="S86" i="13"/>
  <c r="X10" i="13" l="1"/>
  <c r="T10" i="13"/>
  <c r="W7" i="13"/>
  <c r="V7" i="13"/>
  <c r="V91" i="13"/>
  <c r="V87" i="13"/>
  <c r="V83" i="13"/>
  <c r="V79" i="13"/>
  <c r="V75" i="13"/>
  <c r="V71" i="13"/>
  <c r="V67" i="13"/>
  <c r="V63" i="13"/>
  <c r="V59" i="13"/>
  <c r="V55" i="13"/>
  <c r="V51" i="13"/>
  <c r="V48" i="13"/>
  <c r="V44" i="13"/>
  <c r="V41" i="13"/>
  <c r="V37" i="13"/>
  <c r="V34" i="13"/>
  <c r="V30" i="13"/>
  <c r="V27" i="13"/>
  <c r="V23" i="13"/>
  <c r="V20" i="13"/>
  <c r="V16" i="13"/>
  <c r="V90" i="13"/>
  <c r="V86" i="13"/>
  <c r="V82" i="13"/>
  <c r="V78" i="13"/>
  <c r="V74" i="13"/>
  <c r="V66" i="13"/>
  <c r="V62" i="13"/>
  <c r="V58" i="13"/>
  <c r="V54" i="13"/>
  <c r="V47" i="13"/>
  <c r="V43" i="13"/>
  <c r="V36" i="13"/>
  <c r="V33" i="13"/>
  <c r="V26" i="13"/>
  <c r="V19" i="13"/>
  <c r="V15" i="13"/>
  <c r="V12" i="13"/>
  <c r="V8" i="13"/>
  <c r="V9" i="13"/>
  <c r="V39" i="13"/>
  <c r="V32" i="13"/>
  <c r="V25" i="13"/>
  <c r="V18" i="13"/>
  <c r="V14" i="13"/>
  <c r="V11" i="13"/>
  <c r="V38" i="13"/>
  <c r="V31" i="13"/>
  <c r="V21" i="13"/>
  <c r="V17" i="13"/>
  <c r="V13" i="13"/>
  <c r="V10" i="13"/>
  <c r="V22" i="13"/>
  <c r="V50" i="13"/>
  <c r="V35" i="13"/>
  <c r="V29" i="13"/>
  <c r="V40" i="13"/>
  <c r="V28" i="13"/>
  <c r="V76" i="13"/>
  <c r="V72" i="13"/>
  <c r="V68" i="13"/>
  <c r="V52" i="13"/>
  <c r="V49" i="13"/>
  <c r="V42" i="13"/>
  <c r="T48" i="13"/>
  <c r="X48" i="13"/>
  <c r="T58" i="13"/>
  <c r="X58" i="13"/>
  <c r="T19" i="13"/>
  <c r="X19" i="13"/>
  <c r="V92" i="13"/>
  <c r="V88" i="13"/>
  <c r="V84" i="13"/>
  <c r="V80" i="13"/>
  <c r="V64" i="13"/>
  <c r="V60" i="13"/>
  <c r="V56" i="13"/>
  <c r="V45" i="13"/>
  <c r="V24" i="13"/>
  <c r="T68" i="13"/>
  <c r="X68" i="13"/>
  <c r="V89" i="13"/>
  <c r="V85" i="13"/>
  <c r="V81" i="13"/>
  <c r="V77" i="13"/>
  <c r="V73" i="13"/>
  <c r="V69" i="13"/>
  <c r="V65" i="13"/>
  <c r="V61" i="13"/>
  <c r="V57" i="13"/>
  <c r="V53" i="13"/>
  <c r="V46" i="13"/>
  <c r="V70" i="13"/>
  <c r="U87" i="13"/>
  <c r="T87" i="13"/>
  <c r="U63" i="13"/>
  <c r="T63" i="13"/>
  <c r="Y44" i="13"/>
  <c r="T44" i="13"/>
  <c r="Y41" i="13"/>
  <c r="T41" i="13"/>
  <c r="U37" i="13"/>
  <c r="T37" i="13"/>
  <c r="U34" i="13"/>
  <c r="T34" i="13"/>
  <c r="U30" i="13"/>
  <c r="T30" i="13"/>
  <c r="U27" i="13"/>
  <c r="T27" i="13"/>
  <c r="U23" i="13"/>
  <c r="T23" i="13"/>
  <c r="Y20" i="13"/>
  <c r="T20" i="13"/>
  <c r="U16" i="13"/>
  <c r="T16" i="13"/>
  <c r="U9" i="13"/>
  <c r="T9" i="13"/>
  <c r="U83" i="13"/>
  <c r="T83" i="13"/>
  <c r="U78" i="13"/>
  <c r="T78" i="13"/>
  <c r="Y54" i="13"/>
  <c r="T54" i="13"/>
  <c r="Y75" i="13"/>
  <c r="T75" i="13"/>
  <c r="Y59" i="13"/>
  <c r="T59" i="13"/>
  <c r="U90" i="13"/>
  <c r="T90" i="13"/>
  <c r="Y70" i="13"/>
  <c r="T70" i="13"/>
  <c r="Y47" i="13"/>
  <c r="T47" i="13"/>
  <c r="Y33" i="13"/>
  <c r="T33" i="13"/>
  <c r="U15" i="13"/>
  <c r="T15" i="13"/>
  <c r="U89" i="13"/>
  <c r="T89" i="13"/>
  <c r="Y85" i="13"/>
  <c r="T85" i="13"/>
  <c r="Y81" i="13"/>
  <c r="T81" i="13"/>
  <c r="Y77" i="13"/>
  <c r="T77" i="13"/>
  <c r="Y73" i="13"/>
  <c r="T73" i="13"/>
  <c r="Y69" i="13"/>
  <c r="T69" i="13"/>
  <c r="U65" i="13"/>
  <c r="T65" i="13"/>
  <c r="U61" i="13"/>
  <c r="T61" i="13"/>
  <c r="Y57" i="13"/>
  <c r="T57" i="13"/>
  <c r="U53" i="13"/>
  <c r="T53" i="13"/>
  <c r="Y50" i="13"/>
  <c r="T50" i="13"/>
  <c r="U46" i="13"/>
  <c r="T46" i="13"/>
  <c r="U39" i="13"/>
  <c r="T39" i="13"/>
  <c r="U32" i="13"/>
  <c r="T32" i="13"/>
  <c r="Y29" i="13"/>
  <c r="T29" i="13"/>
  <c r="U25" i="13"/>
  <c r="T25" i="13"/>
  <c r="Y22" i="13"/>
  <c r="T22" i="13"/>
  <c r="U18" i="13"/>
  <c r="T18" i="13"/>
  <c r="Y14" i="13"/>
  <c r="T14" i="13"/>
  <c r="U11" i="13"/>
  <c r="T11" i="13"/>
  <c r="Y91" i="13"/>
  <c r="T91" i="13"/>
  <c r="Y67" i="13"/>
  <c r="T67" i="13"/>
  <c r="Y86" i="13"/>
  <c r="T86" i="13"/>
  <c r="Y36" i="13"/>
  <c r="T36" i="13"/>
  <c r="Y26" i="13"/>
  <c r="T26" i="13"/>
  <c r="Y12" i="13"/>
  <c r="T12" i="13"/>
  <c r="U71" i="13"/>
  <c r="T71" i="13"/>
  <c r="U51" i="13"/>
  <c r="T51" i="13"/>
  <c r="U82" i="13"/>
  <c r="T82" i="13"/>
  <c r="U66" i="13"/>
  <c r="T66" i="13"/>
  <c r="Y43" i="13"/>
  <c r="T43" i="13"/>
  <c r="U8" i="13"/>
  <c r="T8" i="13"/>
  <c r="Y92" i="13"/>
  <c r="T92" i="13"/>
  <c r="Y88" i="13"/>
  <c r="T88" i="13"/>
  <c r="U84" i="13"/>
  <c r="T84" i="13"/>
  <c r="U80" i="13"/>
  <c r="T80" i="13"/>
  <c r="Y76" i="13"/>
  <c r="T76" i="13"/>
  <c r="U72" i="13"/>
  <c r="T72" i="13"/>
  <c r="Y64" i="13"/>
  <c r="T64" i="13"/>
  <c r="U60" i="13"/>
  <c r="T60" i="13"/>
  <c r="Y56" i="13"/>
  <c r="T56" i="13"/>
  <c r="Y52" i="13"/>
  <c r="T52" i="13"/>
  <c r="Y49" i="13"/>
  <c r="T49" i="13"/>
  <c r="Y45" i="13"/>
  <c r="T45" i="13"/>
  <c r="Y42" i="13"/>
  <c r="T42" i="13"/>
  <c r="Y38" i="13"/>
  <c r="T38" i="13"/>
  <c r="Y35" i="13"/>
  <c r="T35" i="13"/>
  <c r="U31" i="13"/>
  <c r="T31" i="13"/>
  <c r="Y28" i="13"/>
  <c r="T28" i="13"/>
  <c r="Y24" i="13"/>
  <c r="T24" i="13"/>
  <c r="Y21" i="13"/>
  <c r="T21" i="13"/>
  <c r="Y17" i="13"/>
  <c r="T17" i="13"/>
  <c r="Y13" i="13"/>
  <c r="T13" i="13"/>
  <c r="U10" i="13"/>
  <c r="U79" i="13"/>
  <c r="T79" i="13"/>
  <c r="U55" i="13"/>
  <c r="T55" i="13"/>
  <c r="U74" i="13"/>
  <c r="T74" i="13"/>
  <c r="Y62" i="13"/>
  <c r="T62" i="13"/>
  <c r="Y40" i="13"/>
  <c r="T40" i="13"/>
  <c r="Y7" i="13"/>
  <c r="U48" i="13"/>
  <c r="Y48" i="13"/>
  <c r="U19" i="13"/>
  <c r="Y19" i="13"/>
  <c r="U68" i="13"/>
  <c r="Y68" i="13"/>
  <c r="U58" i="13"/>
  <c r="Y58" i="13"/>
  <c r="W16" i="13"/>
  <c r="W13" i="13"/>
  <c r="W14" i="13"/>
  <c r="W12" i="13"/>
  <c r="W8" i="13"/>
  <c r="W85" i="13"/>
  <c r="W76" i="13"/>
  <c r="W17" i="13"/>
  <c r="W11" i="13"/>
  <c r="Y34" i="13"/>
  <c r="W92" i="13"/>
  <c r="W83" i="13"/>
  <c r="Y66" i="13"/>
  <c r="W48" i="13"/>
  <c r="W15" i="13"/>
  <c r="U22" i="13"/>
  <c r="Y10" i="13"/>
  <c r="Y90" i="13"/>
  <c r="Y72" i="13"/>
  <c r="Y53" i="13"/>
  <c r="Y37" i="13"/>
  <c r="Y23" i="13"/>
  <c r="U49" i="13"/>
  <c r="U28" i="13"/>
  <c r="W90" i="13"/>
  <c r="W88" i="13"/>
  <c r="W84" i="13"/>
  <c r="W81" i="13"/>
  <c r="W75" i="13"/>
  <c r="W19" i="13"/>
  <c r="W9" i="13"/>
  <c r="Y87" i="13"/>
  <c r="U47" i="13"/>
  <c r="U26" i="13"/>
  <c r="Y84" i="13"/>
  <c r="W89" i="13"/>
  <c r="W87" i="13"/>
  <c r="W80" i="13"/>
  <c r="W78" i="13"/>
  <c r="W68" i="13"/>
  <c r="Y80" i="13"/>
  <c r="Y65" i="13"/>
  <c r="Y32" i="13"/>
  <c r="Y18" i="13"/>
  <c r="U64" i="13"/>
  <c r="Y61" i="13"/>
  <c r="Y31" i="13"/>
  <c r="Y16" i="13"/>
  <c r="W91" i="13"/>
  <c r="W86" i="13"/>
  <c r="W82" i="13"/>
  <c r="W77" i="13"/>
  <c r="W58" i="13"/>
  <c r="Y79" i="13"/>
  <c r="Y15" i="13"/>
  <c r="U59" i="13"/>
  <c r="U36" i="13"/>
  <c r="U14" i="13"/>
  <c r="Y74" i="13"/>
  <c r="Y60" i="13"/>
  <c r="Y11" i="13"/>
  <c r="Y55" i="13"/>
  <c r="Y39" i="13"/>
  <c r="Y27" i="13"/>
  <c r="Y9" i="13"/>
  <c r="U52" i="13"/>
  <c r="U21" i="13"/>
  <c r="Y89" i="13"/>
  <c r="Y83" i="13"/>
  <c r="Y78" i="13"/>
  <c r="Y71" i="13"/>
  <c r="Y8" i="13"/>
  <c r="U76" i="13"/>
  <c r="U70" i="13"/>
  <c r="U57" i="13"/>
  <c r="U45" i="13"/>
  <c r="U41" i="13"/>
  <c r="U24" i="13"/>
  <c r="U20" i="13"/>
  <c r="U13" i="13"/>
  <c r="U77" i="13"/>
  <c r="U42" i="13"/>
  <c r="Y82" i="13"/>
  <c r="Y63" i="13"/>
  <c r="Y51" i="13"/>
  <c r="Y46" i="13"/>
  <c r="Y30" i="13"/>
  <c r="Y25" i="13"/>
  <c r="U88" i="13"/>
  <c r="U81" i="13"/>
  <c r="U75" i="13"/>
  <c r="U69" i="13"/>
  <c r="U62" i="13"/>
  <c r="U56" i="13"/>
  <c r="U44" i="13"/>
  <c r="U40" i="13"/>
  <c r="U35" i="13"/>
  <c r="U92" i="13"/>
  <c r="U91" i="13"/>
  <c r="U86" i="13"/>
  <c r="U73" i="13"/>
  <c r="U67" i="13"/>
  <c r="U54" i="13"/>
  <c r="U50" i="13"/>
  <c r="U43" i="13"/>
  <c r="U38" i="13"/>
  <c r="U33" i="13"/>
  <c r="U29" i="13"/>
  <c r="U17" i="13"/>
  <c r="U12" i="13"/>
  <c r="U85" i="13"/>
  <c r="W79" i="13"/>
  <c r="Z10" i="13" l="1"/>
  <c r="Z83" i="13"/>
  <c r="Z11" i="13"/>
  <c r="Z7" i="13"/>
  <c r="Z82" i="13"/>
  <c r="Z85" i="13"/>
  <c r="Z84" i="13"/>
  <c r="AA8" i="13"/>
  <c r="Z80" i="13"/>
  <c r="Z81" i="13"/>
  <c r="Z13" i="13"/>
  <c r="Z90" i="13"/>
  <c r="Z86" i="13"/>
  <c r="Z78" i="13"/>
  <c r="Z9" i="13"/>
  <c r="Z16" i="13"/>
  <c r="Z87" i="13"/>
  <c r="Z15" i="13"/>
  <c r="Z79" i="13"/>
  <c r="Z77" i="13"/>
  <c r="Z89" i="13"/>
  <c r="Z88" i="13"/>
  <c r="Z8" i="13"/>
  <c r="Z19" i="13"/>
  <c r="Z92" i="13"/>
  <c r="Z75" i="13"/>
  <c r="Z91" i="13"/>
  <c r="Z48" i="13"/>
  <c r="AA7" i="13"/>
  <c r="Z58" i="13"/>
  <c r="Z17" i="13"/>
  <c r="Z12" i="13"/>
  <c r="Z76" i="13"/>
  <c r="Z14" i="13"/>
  <c r="Z68" i="13"/>
  <c r="AA87" i="13"/>
  <c r="AA90" i="13"/>
  <c r="AA19" i="13"/>
  <c r="AA76" i="13"/>
  <c r="AA11" i="13"/>
  <c r="AA17" i="13"/>
  <c r="AA16" i="13"/>
  <c r="AA92" i="13"/>
  <c r="AA58" i="13"/>
  <c r="AA12" i="13"/>
  <c r="AA14" i="13"/>
  <c r="AA13" i="13"/>
  <c r="AA81" i="13"/>
  <c r="AA85" i="13"/>
  <c r="AA78" i="13"/>
  <c r="AA77" i="13"/>
  <c r="AA80" i="13"/>
  <c r="AA86" i="13"/>
  <c r="AA83" i="13"/>
  <c r="AA79" i="13"/>
  <c r="AA15" i="13"/>
  <c r="AA9" i="13"/>
  <c r="AA89" i="13"/>
  <c r="AA48" i="13"/>
  <c r="AA68" i="13"/>
  <c r="AA88" i="13"/>
  <c r="AA82" i="13"/>
  <c r="AA84" i="13"/>
  <c r="AA75" i="13"/>
  <c r="AA91" i="13"/>
  <c r="AN6" i="12" l="1"/>
  <c r="AI6" i="12"/>
  <c r="AD6" i="12"/>
  <c r="Y6" i="12"/>
  <c r="T6" i="12"/>
  <c r="O6" i="12"/>
  <c r="O14" i="12"/>
  <c r="O20" i="12"/>
  <c r="O12" i="12" s="1"/>
  <c r="F123" i="5" s="1" a="1"/>
  <c r="M121" i="5"/>
  <c r="N121" i="5"/>
  <c r="O121" i="5"/>
  <c r="P121" i="5"/>
  <c r="T43" i="2" s="1"/>
  <c r="Q121" i="5"/>
  <c r="R121" i="5"/>
  <c r="S121" i="5"/>
  <c r="T121" i="5"/>
  <c r="U121" i="5"/>
  <c r="U43" i="2" s="1"/>
  <c r="V121" i="5"/>
  <c r="W121" i="5"/>
  <c r="X121" i="5"/>
  <c r="Y121" i="5"/>
  <c r="Z121" i="5"/>
  <c r="V43" i="2" s="1"/>
  <c r="AA121" i="5"/>
  <c r="AB121" i="5"/>
  <c r="AC121" i="5"/>
  <c r="AD121" i="5"/>
  <c r="AE121" i="5"/>
  <c r="W43" i="2" s="1"/>
  <c r="L121" i="5"/>
  <c r="F123" i="5" l="1"/>
  <c r="R45" i="2" s="1"/>
  <c r="V45" i="2"/>
  <c r="W45" i="2"/>
  <c r="U45" i="2"/>
  <c r="T45" i="2"/>
  <c r="S45" i="2"/>
  <c r="U6" i="12"/>
  <c r="V6" i="12" s="1"/>
  <c r="W6" i="12" s="1"/>
  <c r="X6" i="12" s="1"/>
  <c r="AJ6" i="12"/>
  <c r="AK6" i="12" s="1"/>
  <c r="AL6" i="12" s="1"/>
  <c r="AM6" i="12" s="1"/>
  <c r="P6" i="12"/>
  <c r="Q6" i="12" s="1"/>
  <c r="R6" i="12" s="1"/>
  <c r="S6" i="12" s="1"/>
  <c r="Z6" i="12"/>
  <c r="AA6" i="12" s="1"/>
  <c r="AB6" i="12" s="1"/>
  <c r="AC6" i="12" s="1"/>
  <c r="AE6" i="12"/>
  <c r="AF6" i="12" s="1"/>
  <c r="AG6" i="12" s="1"/>
  <c r="AH6" i="12" s="1"/>
  <c r="D78" i="5"/>
  <c r="D16" i="5"/>
  <c r="D17" i="5" s="1"/>
  <c r="I92" i="13"/>
  <c r="B92" i="13"/>
  <c r="I91" i="13"/>
  <c r="B91" i="13"/>
  <c r="I90" i="13"/>
  <c r="B90" i="13"/>
  <c r="I89" i="13"/>
  <c r="B89" i="13"/>
  <c r="I88" i="13"/>
  <c r="B88" i="13"/>
  <c r="I87" i="13"/>
  <c r="B87" i="13"/>
  <c r="I86" i="13"/>
  <c r="B86" i="13"/>
  <c r="I85" i="13"/>
  <c r="B85" i="13"/>
  <c r="I84" i="13"/>
  <c r="B84" i="13"/>
  <c r="I83" i="13"/>
  <c r="B83" i="13"/>
  <c r="I82" i="13"/>
  <c r="B82" i="13"/>
  <c r="I81" i="13"/>
  <c r="B81" i="13"/>
  <c r="I80" i="13"/>
  <c r="B80" i="13"/>
  <c r="I79" i="13"/>
  <c r="B79" i="13"/>
  <c r="I78" i="13"/>
  <c r="B78" i="13"/>
  <c r="I77" i="13"/>
  <c r="B77" i="13"/>
  <c r="I76" i="13"/>
  <c r="B76" i="13"/>
  <c r="I75" i="13"/>
  <c r="B75" i="13"/>
  <c r="W74" i="13"/>
  <c r="Z74" i="13" s="1"/>
  <c r="I74" i="13"/>
  <c r="B74" i="13"/>
  <c r="I73" i="13"/>
  <c r="B73" i="13"/>
  <c r="I72" i="13"/>
  <c r="B72" i="13"/>
  <c r="W71" i="13"/>
  <c r="Z71" i="13" s="1"/>
  <c r="I71" i="13"/>
  <c r="B71" i="13"/>
  <c r="W70" i="13"/>
  <c r="Z70" i="13" s="1"/>
  <c r="I70" i="13"/>
  <c r="B70" i="13"/>
  <c r="W69" i="13"/>
  <c r="Z69" i="13" s="1"/>
  <c r="I69" i="13"/>
  <c r="B69" i="13"/>
  <c r="I68" i="13"/>
  <c r="B68" i="13"/>
  <c r="I67" i="13"/>
  <c r="B67" i="13"/>
  <c r="W66" i="13"/>
  <c r="Z66" i="13" s="1"/>
  <c r="I66" i="13"/>
  <c r="B66" i="13"/>
  <c r="W65" i="13"/>
  <c r="Z65" i="13" s="1"/>
  <c r="I65" i="13"/>
  <c r="B65" i="13"/>
  <c r="W64" i="13"/>
  <c r="Z64" i="13" s="1"/>
  <c r="I64" i="13"/>
  <c r="B64" i="13"/>
  <c r="W63" i="13"/>
  <c r="Z63" i="13" s="1"/>
  <c r="I63" i="13"/>
  <c r="B63" i="13"/>
  <c r="W62" i="13"/>
  <c r="Z62" i="13" s="1"/>
  <c r="I62" i="13"/>
  <c r="B62" i="13"/>
  <c r="I61" i="13"/>
  <c r="B61" i="13"/>
  <c r="W60" i="13"/>
  <c r="Z60" i="13" s="1"/>
  <c r="I60" i="13"/>
  <c r="B60" i="13"/>
  <c r="W59" i="13"/>
  <c r="Z59" i="13" s="1"/>
  <c r="I59" i="13"/>
  <c r="B59" i="13"/>
  <c r="I58" i="13"/>
  <c r="B58" i="13"/>
  <c r="I57" i="13"/>
  <c r="B57" i="13"/>
  <c r="W56" i="13"/>
  <c r="Z56" i="13" s="1"/>
  <c r="I56" i="13"/>
  <c r="B56" i="13"/>
  <c r="I55" i="13"/>
  <c r="B55" i="13"/>
  <c r="I54" i="13"/>
  <c r="B54" i="13"/>
  <c r="W53" i="13"/>
  <c r="Z53" i="13" s="1"/>
  <c r="I53" i="13"/>
  <c r="B53" i="13"/>
  <c r="W52" i="13"/>
  <c r="Z52" i="13" s="1"/>
  <c r="I52" i="13"/>
  <c r="B52" i="13"/>
  <c r="W51" i="13"/>
  <c r="Z51" i="13" s="1"/>
  <c r="I51" i="13"/>
  <c r="B51" i="13"/>
  <c r="I50" i="13"/>
  <c r="B50" i="13"/>
  <c r="W49" i="13"/>
  <c r="Z49" i="13" s="1"/>
  <c r="I49" i="13"/>
  <c r="B49" i="13"/>
  <c r="I48" i="13"/>
  <c r="B48" i="13"/>
  <c r="W47" i="13"/>
  <c r="Z47" i="13" s="1"/>
  <c r="I47" i="13"/>
  <c r="B47" i="13"/>
  <c r="W46" i="13"/>
  <c r="Z46" i="13" s="1"/>
  <c r="I46" i="13"/>
  <c r="B46" i="13"/>
  <c r="I45" i="13"/>
  <c r="B45" i="13"/>
  <c r="W44" i="13"/>
  <c r="Z44" i="13" s="1"/>
  <c r="I44" i="13"/>
  <c r="B44" i="13"/>
  <c r="I43" i="13"/>
  <c r="B43" i="13"/>
  <c r="W42" i="13"/>
  <c r="Z42" i="13" s="1"/>
  <c r="I42" i="13"/>
  <c r="B42" i="13"/>
  <c r="I41" i="13"/>
  <c r="B41" i="13"/>
  <c r="W40" i="13"/>
  <c r="Z40" i="13" s="1"/>
  <c r="I40" i="13"/>
  <c r="B40" i="13"/>
  <c r="I39" i="13"/>
  <c r="B39" i="13"/>
  <c r="I38" i="13"/>
  <c r="B38" i="13"/>
  <c r="W37" i="13"/>
  <c r="Z37" i="13" s="1"/>
  <c r="I37" i="13"/>
  <c r="B37" i="13"/>
  <c r="W36" i="13"/>
  <c r="Z36" i="13" s="1"/>
  <c r="I36" i="13"/>
  <c r="B36" i="13"/>
  <c r="I35" i="13"/>
  <c r="B35" i="13"/>
  <c r="I34" i="13"/>
  <c r="B34" i="13"/>
  <c r="I33" i="13"/>
  <c r="B33" i="13"/>
  <c r="I32" i="13"/>
  <c r="B32" i="13"/>
  <c r="W31" i="13"/>
  <c r="Z31" i="13" s="1"/>
  <c r="I31" i="13"/>
  <c r="B31" i="13"/>
  <c r="W30" i="13"/>
  <c r="Z30" i="13" s="1"/>
  <c r="I30" i="13"/>
  <c r="B30" i="13"/>
  <c r="I29" i="13"/>
  <c r="B29" i="13"/>
  <c r="W28" i="13"/>
  <c r="Z28" i="13" s="1"/>
  <c r="I28" i="13"/>
  <c r="B28" i="13"/>
  <c r="W27" i="13"/>
  <c r="Z27" i="13" s="1"/>
  <c r="I27" i="13"/>
  <c r="B27" i="13"/>
  <c r="W26" i="13"/>
  <c r="Z26" i="13" s="1"/>
  <c r="I26" i="13"/>
  <c r="B26" i="13"/>
  <c r="W25" i="13"/>
  <c r="Z25" i="13" s="1"/>
  <c r="I25" i="13"/>
  <c r="B25" i="13"/>
  <c r="I24" i="13"/>
  <c r="B24" i="13"/>
  <c r="I23" i="13"/>
  <c r="B23" i="13"/>
  <c r="W22" i="13"/>
  <c r="Z22" i="13" s="1"/>
  <c r="I22" i="13"/>
  <c r="B22" i="13"/>
  <c r="W21" i="13"/>
  <c r="Z21" i="13" s="1"/>
  <c r="I21" i="13"/>
  <c r="B21" i="13"/>
  <c r="I20" i="13"/>
  <c r="B20" i="13"/>
  <c r="I19" i="13"/>
  <c r="B19" i="13"/>
  <c r="I18" i="13"/>
  <c r="B18" i="13"/>
  <c r="I17" i="13"/>
  <c r="B17" i="13"/>
  <c r="I16" i="13"/>
  <c r="B16" i="13"/>
  <c r="I15" i="13"/>
  <c r="B15" i="13"/>
  <c r="I14" i="13"/>
  <c r="B14" i="13"/>
  <c r="I13" i="13"/>
  <c r="B13" i="13"/>
  <c r="I12" i="13"/>
  <c r="B12" i="13"/>
  <c r="I11" i="13"/>
  <c r="B11" i="13"/>
  <c r="W10" i="13"/>
  <c r="I10" i="13"/>
  <c r="B10" i="13"/>
  <c r="I9" i="13"/>
  <c r="B9" i="13"/>
  <c r="I8" i="13"/>
  <c r="B8" i="13"/>
  <c r="I7" i="13"/>
  <c r="B7" i="13"/>
  <c r="AA70" i="13" l="1"/>
  <c r="AA26" i="13"/>
  <c r="AA42" i="13"/>
  <c r="AA47" i="13"/>
  <c r="AA74" i="13"/>
  <c r="AA59" i="13"/>
  <c r="AA22" i="13"/>
  <c r="AA30" i="13"/>
  <c r="AA31" i="13"/>
  <c r="AA51" i="13"/>
  <c r="AA69" i="13"/>
  <c r="AA71" i="13"/>
  <c r="AA10" i="13"/>
  <c r="AA36" i="13"/>
  <c r="AA66" i="13"/>
  <c r="AA49" i="13"/>
  <c r="AA25" i="13"/>
  <c r="AA27" i="13"/>
  <c r="AA63" i="13"/>
  <c r="AA65" i="13"/>
  <c r="AA28" i="13"/>
  <c r="AA56" i="13"/>
  <c r="AA64" i="13"/>
  <c r="AA40" i="13"/>
  <c r="AA46" i="13"/>
  <c r="AA62" i="13"/>
  <c r="AA21" i="13"/>
  <c r="AA52" i="13"/>
  <c r="AA37" i="13"/>
  <c r="AA44" i="13"/>
  <c r="AA53" i="13"/>
  <c r="AA60" i="13"/>
  <c r="W39" i="13"/>
  <c r="Z39" i="13" s="1"/>
  <c r="W41" i="13"/>
  <c r="Z41" i="13" s="1"/>
  <c r="W45" i="13"/>
  <c r="Z45" i="13" s="1"/>
  <c r="W55" i="13"/>
  <c r="Z55" i="13" s="1"/>
  <c r="W57" i="13"/>
  <c r="Z57" i="13" s="1"/>
  <c r="W67" i="13"/>
  <c r="Z67" i="13" s="1"/>
  <c r="W72" i="13"/>
  <c r="Z72" i="13" s="1"/>
  <c r="W73" i="13"/>
  <c r="Z73" i="13" s="1"/>
  <c r="W18" i="13"/>
  <c r="Z18" i="13" s="1"/>
  <c r="W23" i="13"/>
  <c r="Z23" i="13" s="1"/>
  <c r="W29" i="13"/>
  <c r="Z29" i="13" s="1"/>
  <c r="W38" i="13"/>
  <c r="Z38" i="13" s="1"/>
  <c r="W20" i="13"/>
  <c r="Z20" i="13" s="1"/>
  <c r="W32" i="13"/>
  <c r="Z32" i="13" s="1"/>
  <c r="W35" i="13"/>
  <c r="Z35" i="13" s="1"/>
  <c r="W43" i="13"/>
  <c r="Z43" i="13" s="1"/>
  <c r="W54" i="13"/>
  <c r="Z54" i="13" s="1"/>
  <c r="W24" i="13"/>
  <c r="Z24" i="13" s="1"/>
  <c r="W34" i="13"/>
  <c r="Z34" i="13" s="1"/>
  <c r="W33" i="13"/>
  <c r="Z33" i="13" s="1"/>
  <c r="W50" i="13"/>
  <c r="Z50" i="13" s="1"/>
  <c r="W61" i="13"/>
  <c r="Z61" i="13" s="1"/>
  <c r="AA23" i="13" l="1"/>
  <c r="AA33" i="13"/>
  <c r="AA57" i="13"/>
  <c r="AA73" i="13"/>
  <c r="AA50" i="13"/>
  <c r="AA32" i="13"/>
  <c r="AA45" i="13"/>
  <c r="AA54" i="13"/>
  <c r="AA18" i="13"/>
  <c r="AA43" i="13"/>
  <c r="AA55" i="13"/>
  <c r="AA34" i="13"/>
  <c r="AA35" i="13"/>
  <c r="AA29" i="13"/>
  <c r="AA72" i="13"/>
  <c r="AA41" i="13"/>
  <c r="AA24" i="13"/>
  <c r="AA67" i="13"/>
  <c r="AA39" i="13"/>
  <c r="AA20" i="13"/>
  <c r="AA61" i="13"/>
  <c r="AA38" i="13"/>
  <c r="F56" i="2"/>
  <c r="B236" i="5" a="1"/>
  <c r="B236" i="5" s="1"/>
  <c r="B227" i="5" a="1"/>
  <c r="B227" i="5" s="1"/>
  <c r="B218" i="5" a="1"/>
  <c r="B218" i="5" s="1"/>
  <c r="C208" i="5"/>
  <c r="B209" i="5" a="1"/>
  <c r="B209" i="5" s="1"/>
  <c r="D208" i="5"/>
  <c r="B200" i="5" a="1"/>
  <c r="B200" i="5" s="1"/>
  <c r="D199" i="5"/>
  <c r="C199" i="5"/>
  <c r="D65" i="5"/>
  <c r="D57" i="5"/>
  <c r="D58" i="5" s="1"/>
  <c r="D41" i="5"/>
  <c r="D54" i="5"/>
  <c r="D55" i="5" s="1"/>
  <c r="D93" i="5" s="1"/>
  <c r="D51" i="5"/>
  <c r="D52" i="5" s="1"/>
  <c r="D48" i="5"/>
  <c r="D49" i="5" s="1"/>
  <c r="D45" i="5"/>
  <c r="D46" i="5" s="1"/>
  <c r="F142" i="5" s="1" a="1"/>
  <c r="F142" i="5" s="1"/>
  <c r="D63" i="5"/>
  <c r="D60" i="5"/>
  <c r="D26" i="5"/>
  <c r="D24" i="5"/>
  <c r="D21" i="5"/>
  <c r="D5" i="5"/>
  <c r="D36" i="5"/>
  <c r="K38" i="2" s="1"/>
  <c r="D27" i="5" l="1"/>
  <c r="D25" i="5"/>
  <c r="D6" i="5"/>
  <c r="D66" i="5"/>
  <c r="F144" i="5" a="1"/>
  <c r="F144" i="5" s="1"/>
  <c r="R46" i="2" s="1"/>
  <c r="D82" i="5"/>
  <c r="D87" i="5"/>
  <c r="D86" i="5"/>
  <c r="D88" i="5"/>
  <c r="D89" i="5"/>
  <c r="D90" i="5"/>
  <c r="D91" i="5"/>
  <c r="D84" i="5"/>
  <c r="D85" i="5"/>
  <c r="F143" i="5" a="1"/>
  <c r="F143" i="5" s="1"/>
  <c r="D9" i="5"/>
  <c r="D14" i="5" s="1"/>
  <c r="D11" i="5"/>
  <c r="D10" i="5"/>
  <c r="D20" i="5" s="1"/>
  <c r="K26" i="2" s="1"/>
  <c r="D67" i="5"/>
  <c r="F74" i="5" s="1"/>
  <c r="D94" i="5"/>
  <c r="D95" i="5" s="1"/>
  <c r="D83" i="5"/>
  <c r="F76" i="5"/>
  <c r="D76" i="5"/>
  <c r="D75" i="5"/>
  <c r="E76" i="5"/>
  <c r="K3" i="12" a="1"/>
  <c r="K3" i="12" s="1"/>
  <c r="D38" i="5"/>
  <c r="F141" i="5" s="1" a="1"/>
  <c r="F141" i="5" s="1"/>
  <c r="W17" i="2" l="1"/>
  <c r="Q8" i="2" s="1"/>
  <c r="K31" i="2"/>
  <c r="K15" i="2"/>
  <c r="F59" i="2" s="1"/>
  <c r="D18" i="5"/>
  <c r="F107" i="5" a="1"/>
  <c r="F107" i="5" s="1"/>
  <c r="D80" i="5"/>
  <c r="F177" i="5" s="1"/>
  <c r="E74" i="5"/>
  <c r="E75" i="5" s="1"/>
  <c r="F75" i="5"/>
  <c r="F80" i="5" s="1"/>
  <c r="F179" i="5" s="1"/>
  <c r="D177" i="5"/>
  <c r="D179" i="5"/>
  <c r="F180" i="5" l="1" a="1"/>
  <c r="F180" i="5" s="1"/>
  <c r="F128" i="5" a="1"/>
  <c r="F128" i="5" s="1"/>
  <c r="F115" i="5" a="1"/>
  <c r="F115" i="5" s="1"/>
  <c r="F114" i="5" a="1"/>
  <c r="F114" i="5" s="1"/>
  <c r="D22" i="5"/>
  <c r="F105" i="5" s="1" a="1"/>
  <c r="F105" i="5" s="1"/>
  <c r="F106" i="5" a="1"/>
  <c r="F106" i="5" s="1"/>
  <c r="F112" i="5" s="1" a="1"/>
  <c r="F112" i="5" s="1"/>
  <c r="D15" i="5"/>
  <c r="K24" i="2" s="1"/>
  <c r="C212" i="5"/>
  <c r="D209" i="5"/>
  <c r="D214" i="5" s="1"/>
  <c r="E80" i="5"/>
  <c r="F178" i="5" s="1"/>
  <c r="E107" i="5" a="1"/>
  <c r="D178" i="5"/>
  <c r="E106" i="5" a="1"/>
  <c r="E105" i="5" a="1"/>
  <c r="F111" i="5" l="1" a="1"/>
  <c r="F111" i="5" s="1"/>
  <c r="F126" i="5" a="1"/>
  <c r="F126" i="5" s="1"/>
  <c r="F110" i="5" a="1"/>
  <c r="F110" i="5" s="1"/>
  <c r="D28" i="5"/>
  <c r="F127" i="5" a="1"/>
  <c r="F127" i="5" s="1"/>
  <c r="F113" i="5" a="1"/>
  <c r="F113" i="5" s="1"/>
  <c r="E105" i="5"/>
  <c r="F146" i="5" a="1"/>
  <c r="F146" i="5" s="1"/>
  <c r="F147" i="5" a="1"/>
  <c r="F147" i="5" s="1"/>
  <c r="E211" i="5"/>
  <c r="C210" i="5"/>
  <c r="C214" i="5" s="1"/>
  <c r="E107" i="5"/>
  <c r="E106" i="5"/>
  <c r="E127" i="5" a="1"/>
  <c r="D106" i="5"/>
  <c r="D107" i="5"/>
  <c r="D105" i="5"/>
  <c r="E146" i="5" a="1"/>
  <c r="D127" i="5"/>
  <c r="F116" i="5" l="1" a="1"/>
  <c r="F116" i="5" s="1"/>
  <c r="F131" i="5" a="1"/>
  <c r="F131" i="5" s="1"/>
  <c r="F117" i="5" a="1"/>
  <c r="F117" i="5" s="1"/>
  <c r="F135" i="5" a="1"/>
  <c r="F135" i="5" s="1"/>
  <c r="F136" i="5" a="1"/>
  <c r="F136" i="5" s="1"/>
  <c r="F133" i="5" a="1"/>
  <c r="F133" i="5" s="1"/>
  <c r="F134" i="5" a="1"/>
  <c r="F134" i="5" s="1"/>
  <c r="F148" i="5" a="1"/>
  <c r="F148" i="5" s="1"/>
  <c r="F149" i="5" s="1" a="1"/>
  <c r="F149" i="5" s="1"/>
  <c r="F108" i="5" a="1"/>
  <c r="F108" i="5" s="1"/>
  <c r="E210" i="5"/>
  <c r="C211" i="5"/>
  <c r="E127" i="5"/>
  <c r="E146" i="5"/>
  <c r="F153" i="5" a="1"/>
  <c r="E112" i="5" a="1"/>
  <c r="E113" i="5" a="1"/>
  <c r="E110" i="5" a="1"/>
  <c r="E108" i="5" a="1"/>
  <c r="E114" i="5" a="1"/>
  <c r="E147" i="5" a="1"/>
  <c r="E126" i="5" a="1"/>
  <c r="D147" i="5"/>
  <c r="D128" i="5"/>
  <c r="E111" i="5" a="1"/>
  <c r="E115" i="5" a="1"/>
  <c r="E128" i="5" a="1"/>
  <c r="D112" i="5"/>
  <c r="D146" i="5"/>
  <c r="D108" i="5"/>
  <c r="E213" i="5" l="1"/>
  <c r="G212" i="5" s="1"/>
  <c r="E111" i="5"/>
  <c r="E110" i="5"/>
  <c r="E126" i="5"/>
  <c r="E128" i="5"/>
  <c r="E115" i="5"/>
  <c r="E114" i="5"/>
  <c r="E113" i="5"/>
  <c r="E147" i="5"/>
  <c r="E108" i="5"/>
  <c r="D191" i="5" s="1"/>
  <c r="E112" i="5"/>
  <c r="F153" i="5"/>
  <c r="D114" i="5"/>
  <c r="D111" i="5"/>
  <c r="E153" i="5" a="1"/>
  <c r="D153" i="5"/>
  <c r="D110" i="5"/>
  <c r="D115" i="5"/>
  <c r="D126" i="5"/>
  <c r="D148" i="5"/>
  <c r="E148" i="5" a="1"/>
  <c r="D113" i="5"/>
  <c r="D196" i="5" l="1"/>
  <c r="F152" i="5" a="1"/>
  <c r="F132" i="5" a="1"/>
  <c r="F132" i="5" s="1"/>
  <c r="F138" i="5" s="1" a="1"/>
  <c r="F138" i="5" s="1"/>
  <c r="F151" i="5" a="1"/>
  <c r="F151" i="5" s="1"/>
  <c r="F129" i="5" a="1"/>
  <c r="E148" i="5"/>
  <c r="E153" i="5"/>
  <c r="F155" i="5" a="1"/>
  <c r="F156" i="5" a="1"/>
  <c r="F154" i="5" a="1"/>
  <c r="E149" i="5" a="1"/>
  <c r="E117" i="5" a="1"/>
  <c r="D133" i="5"/>
  <c r="D117" i="5"/>
  <c r="D149" i="5"/>
  <c r="D132" i="5"/>
  <c r="E151" i="5" a="1"/>
  <c r="E152" i="5" a="1"/>
  <c r="E131" i="5" a="1"/>
  <c r="D151" i="5"/>
  <c r="E129" i="5" a="1"/>
  <c r="E116" i="5" a="1"/>
  <c r="E132" i="5" a="1"/>
  <c r="E133" i="5" a="1"/>
  <c r="E152" i="5" l="1"/>
  <c r="F152" i="5"/>
  <c r="E116" i="5"/>
  <c r="E131" i="5"/>
  <c r="E129" i="5"/>
  <c r="D200" i="5" s="1"/>
  <c r="F129" i="5"/>
  <c r="F161" i="5" s="1" a="1"/>
  <c r="F161" i="5" s="1"/>
  <c r="F165" i="5" s="1" a="1"/>
  <c r="F165" i="5" s="1"/>
  <c r="E132" i="5"/>
  <c r="E133" i="5"/>
  <c r="E149" i="5"/>
  <c r="D218" i="5" s="1"/>
  <c r="D223" i="5" s="1"/>
  <c r="E151" i="5"/>
  <c r="E117" i="5"/>
  <c r="F155" i="5"/>
  <c r="F156" i="5"/>
  <c r="F154" i="5"/>
  <c r="E156" i="5" a="1"/>
  <c r="D116" i="5"/>
  <c r="D156" i="5"/>
  <c r="E134" i="5" a="1"/>
  <c r="E135" i="5" a="1"/>
  <c r="D129" i="5"/>
  <c r="D155" i="5"/>
  <c r="D131" i="5"/>
  <c r="D134" i="5"/>
  <c r="E154" i="5" a="1"/>
  <c r="F183" i="5"/>
  <c r="E155" i="5" a="1"/>
  <c r="D136" i="5"/>
  <c r="D152" i="5"/>
  <c r="D154" i="5"/>
  <c r="E136" i="5" a="1"/>
  <c r="D135" i="5"/>
  <c r="C192" i="5" l="1"/>
  <c r="D205" i="5"/>
  <c r="F137" i="5" a="1"/>
  <c r="F137" i="5" s="1"/>
  <c r="F162" i="5" s="1" a="1"/>
  <c r="F162" i="5" s="1"/>
  <c r="C194" i="5"/>
  <c r="E193" i="5" s="1"/>
  <c r="E136" i="5"/>
  <c r="E134" i="5"/>
  <c r="E135" i="5"/>
  <c r="E156" i="5"/>
  <c r="E155" i="5"/>
  <c r="E154" i="5"/>
  <c r="F157" i="5" a="1"/>
  <c r="F158" i="5" a="1"/>
  <c r="D137" i="5"/>
  <c r="E137" i="5" a="1"/>
  <c r="E157" i="5" a="1"/>
  <c r="D161" i="5"/>
  <c r="C196" i="5" l="1"/>
  <c r="E157" i="5"/>
  <c r="F157" i="5"/>
  <c r="F166" i="5" s="1" a="1"/>
  <c r="F166" i="5" s="1"/>
  <c r="C193" i="5"/>
  <c r="E192" i="5"/>
  <c r="E137" i="5"/>
  <c r="G210" i="5"/>
  <c r="K57" i="2"/>
  <c r="F158" i="5"/>
  <c r="E138" i="5" a="1"/>
  <c r="D157" i="5"/>
  <c r="D138" i="5"/>
  <c r="D165" i="5"/>
  <c r="D158" i="5"/>
  <c r="E158" i="5" a="1"/>
  <c r="F184" i="5"/>
  <c r="F170" i="5" l="1" a="1"/>
  <c r="F170" i="5" s="1"/>
  <c r="F173" i="5" s="1"/>
  <c r="E195" i="5"/>
  <c r="G194" i="5" s="1"/>
  <c r="K60" i="2" s="1"/>
  <c r="E138" i="5"/>
  <c r="C203" i="5" s="1"/>
  <c r="E202" i="5" s="1"/>
  <c r="E158" i="5"/>
  <c r="C219" i="5" s="1"/>
  <c r="K71" i="2"/>
  <c r="G192" i="5" l="1"/>
  <c r="E219" i="5"/>
  <c r="C220" i="5"/>
  <c r="C221" i="5"/>
  <c r="E220" i="5" s="1"/>
  <c r="C201" i="5"/>
  <c r="E201" i="5" s="1"/>
  <c r="W46" i="2"/>
  <c r="V46" i="2"/>
  <c r="U46" i="2"/>
  <c r="T46" i="2"/>
  <c r="S46" i="2"/>
  <c r="E204" i="5" l="1"/>
  <c r="G203" i="5" s="1"/>
  <c r="C205" i="5"/>
  <c r="C223" i="5"/>
  <c r="E222" i="5" a="1"/>
  <c r="E222" i="5" s="1"/>
  <c r="G219" i="5" s="1"/>
  <c r="C202" i="5"/>
  <c r="F163" i="5" a="1"/>
  <c r="E161" i="5" a="1"/>
  <c r="G221" i="5" l="1"/>
  <c r="K78" i="2" s="1"/>
  <c r="E161" i="5"/>
  <c r="F163" i="5"/>
  <c r="F167" i="5" s="1" a="1"/>
  <c r="F167" i="5" s="1"/>
  <c r="D163" i="5"/>
  <c r="E162" i="5" a="1"/>
  <c r="D162" i="5"/>
  <c r="F185" i="5"/>
  <c r="E163" i="5" a="1"/>
  <c r="E165" i="5" a="1"/>
  <c r="F169" i="5" l="1" a="1"/>
  <c r="F169" i="5" s="1"/>
  <c r="K66" i="2"/>
  <c r="D227" i="5"/>
  <c r="G201" i="5"/>
  <c r="E162" i="5"/>
  <c r="E163" i="5"/>
  <c r="E165" i="5"/>
  <c r="D169" i="5"/>
  <c r="E166" i="5" a="1"/>
  <c r="D232" i="5" l="1"/>
  <c r="C230" i="5"/>
  <c r="E229" i="5" s="1"/>
  <c r="C228" i="5"/>
  <c r="E228" i="5" s="1"/>
  <c r="AC173" i="5"/>
  <c r="E166" i="5"/>
  <c r="D170" i="5"/>
  <c r="E167" i="5" a="1"/>
  <c r="D167" i="5"/>
  <c r="D166" i="5"/>
  <c r="F171" i="5" l="1"/>
  <c r="AD171" i="5"/>
  <c r="C229" i="5"/>
  <c r="C232" i="5"/>
  <c r="C239" i="5"/>
  <c r="C237" i="5"/>
  <c r="C238" i="5" s="1"/>
  <c r="E231" i="5"/>
  <c r="G230" i="5" s="1"/>
  <c r="AE173" i="5"/>
  <c r="H173" i="5"/>
  <c r="N173" i="5"/>
  <c r="K173" i="5"/>
  <c r="Z173" i="5"/>
  <c r="S173" i="5"/>
  <c r="AD173" i="5"/>
  <c r="Q173" i="5"/>
  <c r="O173" i="5"/>
  <c r="AA173" i="5"/>
  <c r="R173" i="5"/>
  <c r="AB173" i="5"/>
  <c r="M173" i="5"/>
  <c r="Y173" i="5"/>
  <c r="U173" i="5"/>
  <c r="X173" i="5"/>
  <c r="W173" i="5"/>
  <c r="L173" i="5"/>
  <c r="V173" i="5"/>
  <c r="T173" i="5"/>
  <c r="G173" i="5"/>
  <c r="P173" i="5"/>
  <c r="I173" i="5"/>
  <c r="J173" i="5"/>
  <c r="E167" i="5"/>
  <c r="D236" i="5"/>
  <c r="G228" i="5" l="1"/>
  <c r="E237" i="5"/>
  <c r="AC171" i="5"/>
  <c r="F174" i="5" a="1"/>
  <c r="F174" i="5" s="1"/>
  <c r="C245" i="5" s="1"/>
  <c r="E238" i="5"/>
  <c r="H171" i="5"/>
  <c r="K171" i="5"/>
  <c r="O171" i="5"/>
  <c r="V171" i="5"/>
  <c r="U171" i="5"/>
  <c r="AB171" i="5"/>
  <c r="L171" i="5"/>
  <c r="R171" i="5"/>
  <c r="P171" i="5"/>
  <c r="Y171" i="5"/>
  <c r="AA171" i="5"/>
  <c r="I171" i="5"/>
  <c r="Z171" i="5"/>
  <c r="G171" i="5"/>
  <c r="W171" i="5"/>
  <c r="X171" i="5"/>
  <c r="N171" i="5"/>
  <c r="M171" i="5"/>
  <c r="T171" i="5"/>
  <c r="J171" i="5"/>
  <c r="Q171" i="5"/>
  <c r="S171" i="5"/>
  <c r="AE171" i="5"/>
  <c r="C241" i="5"/>
  <c r="D241" i="5"/>
  <c r="F172" i="5" l="1" a="1"/>
  <c r="F172" i="5" s="1"/>
  <c r="G239" i="5"/>
  <c r="K91" i="2" s="1"/>
  <c r="K84" i="2"/>
  <c r="E240" i="5"/>
  <c r="G237" i="5" s="1"/>
  <c r="C244" i="5" l="1"/>
  <c r="G245" i="5" s="1"/>
  <c r="Q94" i="2" s="1"/>
  <c r="G244" i="5" l="1"/>
  <c r="K95"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Kasia Boyd</author>
  </authors>
  <commentList>
    <comment ref="Q13" authorId="0" shapeId="0" xr:uid="{AEB773E6-9038-4C64-887C-1F1EFFC043CD}">
      <text>
        <r>
          <rPr>
            <b/>
            <sz val="9"/>
            <color indexed="81"/>
            <rFont val="Tahoma"/>
            <family val="2"/>
          </rPr>
          <t xml:space="preserve">1 - Retrofit Premium Capital Cost 
</t>
        </r>
        <r>
          <rPr>
            <sz val="9"/>
            <color indexed="81"/>
            <rFont val="Tahoma"/>
            <family val="2"/>
          </rPr>
          <t xml:space="preserve">= If no cost is entered, the default rate is used.
or 
= User enters the </t>
        </r>
        <r>
          <rPr>
            <i/>
            <sz val="9"/>
            <color indexed="81"/>
            <rFont val="Tahoma"/>
            <family val="2"/>
          </rPr>
          <t>premium</t>
        </r>
        <r>
          <rPr>
            <sz val="9"/>
            <color indexed="81"/>
            <rFont val="Tahoma"/>
            <family val="2"/>
          </rPr>
          <t xml:space="preserve"> retrofit capital costs
</t>
        </r>
        <r>
          <rPr>
            <b/>
            <sz val="9"/>
            <color indexed="81"/>
            <rFont val="Tahoma"/>
            <family val="2"/>
          </rPr>
          <t xml:space="preserve">2 - User Defined BAU &amp; Retrofit </t>
        </r>
        <r>
          <rPr>
            <b/>
            <i/>
            <sz val="9"/>
            <color indexed="81"/>
            <rFont val="Tahoma"/>
            <family val="2"/>
          </rPr>
          <t>Premium</t>
        </r>
        <r>
          <rPr>
            <b/>
            <sz val="9"/>
            <color indexed="81"/>
            <rFont val="Tahoma"/>
            <family val="2"/>
          </rPr>
          <t xml:space="preserve"> Costs
</t>
        </r>
        <r>
          <rPr>
            <sz val="9"/>
            <color indexed="81"/>
            <rFont val="Tahoma"/>
            <family val="2"/>
          </rPr>
          <t>= User enters the total cost for a BAU retrofit and the calculation uses either the default or user-entered premium retrofit cost.</t>
        </r>
        <r>
          <rPr>
            <b/>
            <sz val="9"/>
            <color indexed="81"/>
            <rFont val="Tahoma"/>
            <family val="2"/>
          </rPr>
          <t xml:space="preserve">
3 - User Defined BAU &amp; Retrofit </t>
        </r>
        <r>
          <rPr>
            <b/>
            <i/>
            <sz val="9"/>
            <color indexed="81"/>
            <rFont val="Tahoma"/>
            <family val="2"/>
          </rPr>
          <t>Total</t>
        </r>
        <r>
          <rPr>
            <b/>
            <sz val="9"/>
            <color indexed="81"/>
            <rFont val="Tahoma"/>
            <family val="2"/>
          </rPr>
          <t xml:space="preserve"> Costs
</t>
        </r>
        <r>
          <rPr>
            <sz val="9"/>
            <color indexed="81"/>
            <rFont val="Tahoma"/>
            <family val="2"/>
          </rPr>
          <t>= User enters both the total cost for a BAU retrofit and the total cost for the retrofit.</t>
        </r>
      </text>
    </comment>
    <comment ref="Q35" authorId="0" shapeId="0" xr:uid="{5A19AC77-0690-4DCF-A76D-50919761FF04}">
      <text>
        <r>
          <rPr>
            <b/>
            <sz val="9"/>
            <color indexed="81"/>
            <rFont val="Tahoma"/>
            <family val="2"/>
          </rPr>
          <t xml:space="preserve">Hold Period 
</t>
        </r>
        <r>
          <rPr>
            <sz val="9"/>
            <color indexed="81"/>
            <rFont val="Tahoma"/>
            <family val="2"/>
          </rPr>
          <t xml:space="preserve">= is how long will you own/ operate the building.
</t>
        </r>
        <r>
          <rPr>
            <b/>
            <sz val="9"/>
            <color indexed="81"/>
            <rFont val="Tahoma"/>
            <family val="2"/>
          </rPr>
          <t>Enter a value between 1-25 years</t>
        </r>
      </text>
    </comment>
    <comment ref="K40" authorId="0" shapeId="0" xr:uid="{3E301741-D4CE-415C-B46C-CC2376349D2D}">
      <text>
        <r>
          <rPr>
            <b/>
            <sz val="9"/>
            <color indexed="81"/>
            <rFont val="Tahoma"/>
            <charset val="1"/>
          </rPr>
          <t xml:space="preserve">Note
</t>
        </r>
        <r>
          <rPr>
            <sz val="9"/>
            <color indexed="81"/>
            <rFont val="Tahoma"/>
            <family val="2"/>
          </rPr>
          <t>District energy costs vary widely, so it is strongly recommended to enter a user-defined district heating rate. Review your district energy utility bill or contact your provider to obtain this rate.</t>
        </r>
      </text>
    </comment>
    <comment ref="K56" authorId="0" shapeId="0" xr:uid="{B9B5E40F-100E-4A1F-9DE1-4D9F9534C4FE}">
      <text>
        <r>
          <rPr>
            <b/>
            <sz val="9"/>
            <color indexed="81"/>
            <rFont val="Tahoma"/>
            <family val="2"/>
          </rPr>
          <t xml:space="preserve">Annual Energy Use 
= </t>
        </r>
        <r>
          <rPr>
            <sz val="9"/>
            <color indexed="81"/>
            <rFont val="Tahoma"/>
            <family val="2"/>
          </rPr>
          <t>the total amount of energy the building uses over the year</t>
        </r>
      </text>
    </comment>
    <comment ref="K62" authorId="0" shapeId="0" xr:uid="{1477B571-CEB6-4378-9714-6F780A634A6C}">
      <text>
        <r>
          <rPr>
            <b/>
            <sz val="9"/>
            <color indexed="81"/>
            <rFont val="Tahoma"/>
            <family val="2"/>
          </rPr>
          <t xml:space="preserve">Annual GHG Emissions </t>
        </r>
        <r>
          <rPr>
            <sz val="9"/>
            <color indexed="81"/>
            <rFont val="Tahoma"/>
            <family val="2"/>
          </rPr>
          <t>= the total greenhouse gases the building releases each year, contributing to climate change.</t>
        </r>
      </text>
    </comment>
    <comment ref="K68" authorId="0" shapeId="0" xr:uid="{20ECB02D-9C6E-4D73-B318-337CA2A7AF39}">
      <text>
        <r>
          <rPr>
            <b/>
            <sz val="9"/>
            <color indexed="81"/>
            <rFont val="Tahoma"/>
            <family val="2"/>
          </rPr>
          <t>Capital costs 
=</t>
        </r>
        <r>
          <rPr>
            <sz val="9"/>
            <color indexed="81"/>
            <rFont val="Tahoma"/>
            <family val="2"/>
          </rPr>
          <t xml:space="preserve"> the upfront investment costs to implement the retrofit.
</t>
        </r>
      </text>
    </comment>
    <comment ref="K74" authorId="0" shapeId="0" xr:uid="{89083804-DCF3-47A6-87D1-C0A9742B20A1}">
      <text>
        <r>
          <rPr>
            <b/>
            <sz val="9"/>
            <color indexed="81"/>
            <rFont val="Tahoma"/>
            <family val="2"/>
          </rPr>
          <t>Utility Costs</t>
        </r>
        <r>
          <rPr>
            <sz val="9"/>
            <color indexed="81"/>
            <rFont val="Tahoma"/>
            <family val="2"/>
          </rPr>
          <t xml:space="preserve"> 
= the costs paid each month for energy use, such as electricity and natural gas.</t>
        </r>
      </text>
    </comment>
    <comment ref="K80" authorId="0" shapeId="0" xr:uid="{0E89BA03-B05B-4FC3-994B-396226887E48}">
      <text>
        <r>
          <rPr>
            <b/>
            <sz val="9"/>
            <color indexed="81"/>
            <rFont val="Tahoma"/>
            <family val="2"/>
          </rPr>
          <t xml:space="preserve">Annual Carbon Tax Costs 
= </t>
        </r>
        <r>
          <rPr>
            <sz val="9"/>
            <color indexed="81"/>
            <rFont val="Tahoma"/>
            <family val="2"/>
          </rPr>
          <t>the costs paid as a result of emitting greenhouse gas emissions.</t>
        </r>
      </text>
    </comment>
    <comment ref="K87" authorId="0" shapeId="0" xr:uid="{E1637644-D368-4BE3-808F-510D3B43D878}">
      <text>
        <r>
          <rPr>
            <b/>
            <sz val="9"/>
            <color indexed="81"/>
            <rFont val="Tahoma"/>
            <family val="2"/>
          </rPr>
          <t>Net Present Value =</t>
        </r>
        <r>
          <rPr>
            <sz val="9"/>
            <color indexed="81"/>
            <rFont val="Tahoma"/>
            <family val="2"/>
          </rPr>
          <t xml:space="preserve"> t</t>
        </r>
        <r>
          <rPr>
            <sz val="9"/>
            <color indexed="81"/>
            <rFont val="Tahoma"/>
            <family val="2"/>
          </rPr>
          <t>he overall value of an retrofit investment when considering both its capital investment costs and future utility savings.</t>
        </r>
      </text>
    </comment>
    <comment ref="K94" authorId="0" shapeId="0" xr:uid="{39C03613-10A2-4CBD-8BBD-1B405BDA2C22}">
      <text>
        <r>
          <rPr>
            <b/>
            <sz val="9"/>
            <color indexed="81"/>
            <rFont val="Tahoma"/>
            <family val="2"/>
          </rPr>
          <t xml:space="preserve">Payback Period 
= </t>
        </r>
        <r>
          <rPr>
            <sz val="9"/>
            <color indexed="81"/>
            <rFont val="Tahoma"/>
            <family val="2"/>
          </rPr>
          <t>the time it takes for the retrofit investment to be paid back from operational cost savings.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tc={C0D0E91D-B14A-4A69-AFC2-5A555B80CD59}</author>
  </authors>
  <commentList>
    <comment ref="F121" authorId="0" shapeId="0" xr:uid="{C0D0E91D-B14A-4A69-AFC2-5A555B80CD59}">
      <text>
        <t>[Threaded comment]
Your version of Excel allows you to read this threaded comment; however, any edits to it will get removed if the file is opened in a newer version of Excel. Learn more: https://go.microsoft.com/fwlink/?linkid=870924
Comment:
    Why is this diff from emission tool</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<sst xmlns="http://schemas.openxmlformats.org/spreadsheetml/2006/main" count="971" uniqueCount="383">
  <si>
    <t>Net Zero Building Retrofit Guides</t>
  </si>
  <si>
    <t xml:space="preserve">Life Cycle Cost Analysis </t>
  </si>
  <si>
    <t>Default Rate:</t>
  </si>
  <si>
    <t>Building Type:</t>
  </si>
  <si>
    <t>$</t>
  </si>
  <si>
    <t>Area:</t>
  </si>
  <si>
    <t>ft²</t>
  </si>
  <si>
    <t>Natural Gas Use:</t>
  </si>
  <si>
    <t>Electricity Use:</t>
  </si>
  <si>
    <t>kWh</t>
  </si>
  <si>
    <t>Natural Gas
Escalation Rate:</t>
  </si>
  <si>
    <t>2% / year</t>
  </si>
  <si>
    <t>Electricity 
Escalation Rate:</t>
  </si>
  <si>
    <t>District Energy 
Escalation Rate:</t>
  </si>
  <si>
    <t>$/m³</t>
  </si>
  <si>
    <t>25 years</t>
  </si>
  <si>
    <t>$/kWh</t>
  </si>
  <si>
    <t>Discount Rate:</t>
  </si>
  <si>
    <t>Rapid Acceleration</t>
  </si>
  <si>
    <t xml:space="preserve">Natural Gas Emission Rate: </t>
  </si>
  <si>
    <t>Electricity Emission Rate:</t>
  </si>
  <si>
    <t>District Energy Emission Rate:</t>
  </si>
  <si>
    <t>Carbon Tax Rate:</t>
  </si>
  <si>
    <t>User Defined Carbon Tax Rate:</t>
  </si>
  <si>
    <t>Life Cycle Cost Results:</t>
  </si>
  <si>
    <r>
      <t xml:space="preserve">Capital Cost  </t>
    </r>
    <r>
      <rPr>
        <b/>
        <sz val="11"/>
        <color theme="1" tint="0.499984740745262"/>
        <rFont val="Avenir Next LT Pro"/>
        <family val="2"/>
      </rPr>
      <t>ⓘ</t>
    </r>
  </si>
  <si>
    <r>
      <t xml:space="preserve">Net Present Value  </t>
    </r>
    <r>
      <rPr>
        <b/>
        <sz val="11"/>
        <color theme="1" tint="0.499984740745262"/>
        <rFont val="Avenir Next LT Pro"/>
        <family val="2"/>
      </rPr>
      <t>ⓘ</t>
    </r>
  </si>
  <si>
    <r>
      <t xml:space="preserve">Payback Period  </t>
    </r>
    <r>
      <rPr>
        <b/>
        <sz val="11"/>
        <color theme="1" tint="0.499984740745262"/>
        <rFont val="Avenir Next LT Pro"/>
        <family val="2"/>
      </rPr>
      <t>ⓘ</t>
    </r>
  </si>
  <si>
    <t>Tool Calc Sheet</t>
  </si>
  <si>
    <t>Metric</t>
  </si>
  <si>
    <t>Unit</t>
  </si>
  <si>
    <t>Notes</t>
  </si>
  <si>
    <t>Building Type</t>
  </si>
  <si>
    <t>Text</t>
  </si>
  <si>
    <t>Pull from front end</t>
  </si>
  <si>
    <t>Area</t>
  </si>
  <si>
    <t>m2</t>
  </si>
  <si>
    <t>Natural Gas Use Intensity/m2</t>
  </si>
  <si>
    <t>Pull from EUI/m2 database</t>
  </si>
  <si>
    <t>Electricity Use Intensity/m2</t>
  </si>
  <si>
    <t>Total Energy Use Intensity/m2</t>
  </si>
  <si>
    <t>Existing Building Values</t>
  </si>
  <si>
    <t>Existing NG Use Default</t>
  </si>
  <si>
    <t>Formula NG Use/m2 * Area</t>
  </si>
  <si>
    <t>Existing NG Use User Input</t>
  </si>
  <si>
    <t>m3</t>
  </si>
  <si>
    <t>Formula - Converts to kWh</t>
  </si>
  <si>
    <t>Gas m3 To kWh Calculator: Gas Cubic Meter To kWh Conversion + Chart - LearnMetrics</t>
  </si>
  <si>
    <t>Natural Gas Use</t>
  </si>
  <si>
    <t>Formula - Selects either default or input</t>
  </si>
  <si>
    <t>Existing Electricity Use Default</t>
  </si>
  <si>
    <t>Formula Elec Use/m2 * Area</t>
  </si>
  <si>
    <t>Existing Electricity Use User Input</t>
  </si>
  <si>
    <t>Electricity Use</t>
  </si>
  <si>
    <t>Connected to District Energy?</t>
  </si>
  <si>
    <t>District Energy Use Default</t>
  </si>
  <si>
    <t>District Energy Use User Input</t>
  </si>
  <si>
    <t>District Energy Use</t>
  </si>
  <si>
    <t>Existing NG Rate Default</t>
  </si>
  <si>
    <t>Constant Value - research</t>
  </si>
  <si>
    <t>Max based on https://www.oeb.ca/consumer-information-and-protection/natural-gas-rates</t>
  </si>
  <si>
    <t>Existing NG Rate User Input</t>
  </si>
  <si>
    <t>$/m3</t>
  </si>
  <si>
    <t>Existing NG Rate</t>
  </si>
  <si>
    <t>Existing Electricity Rate Default</t>
  </si>
  <si>
    <t>Average based on https://www.oeb.ca/consumer-information-and-protection/electricity-rates</t>
  </si>
  <si>
    <t>Existing Electricity Rate User Input</t>
  </si>
  <si>
    <t>Existing Electricity Rate</t>
  </si>
  <si>
    <t>Existing District Rate Default</t>
  </si>
  <si>
    <t>Existing District Rate User Input</t>
  </si>
  <si>
    <t>Existing District Rate</t>
  </si>
  <si>
    <t>Natural Gas Escalation Rate Default</t>
  </si>
  <si>
    <t>%</t>
  </si>
  <si>
    <t>Constant Value</t>
  </si>
  <si>
    <t>Natural Gas Escalation Rate User Input</t>
  </si>
  <si>
    <t>Natural Gas Escalation Rate</t>
  </si>
  <si>
    <t>Electricity Escalation Rate Default</t>
  </si>
  <si>
    <t>Electricity Escalation Rate User Input</t>
  </si>
  <si>
    <t>Electricity Escalation Rate</t>
  </si>
  <si>
    <t>District Energy Escalation Rate Default</t>
  </si>
  <si>
    <t>District Energy Escalation Rate User Input</t>
  </si>
  <si>
    <t>District Energy Escalation Rate</t>
  </si>
  <si>
    <t>Hold Period Rate Default</t>
  </si>
  <si>
    <t>#</t>
  </si>
  <si>
    <t>Hold Period User Input</t>
  </si>
  <si>
    <t>Discount Rate Default</t>
  </si>
  <si>
    <t>Discount User Input</t>
  </si>
  <si>
    <t>Retrofit Measure</t>
  </si>
  <si>
    <t>Selected Retrofit Measure</t>
  </si>
  <si>
    <t>Capital Cost Premium User Input:</t>
  </si>
  <si>
    <t>Capital Cost Premium Default - LOW</t>
  </si>
  <si>
    <t>Capital Cost Premium Default - HIGH</t>
  </si>
  <si>
    <t>Business as Usual Total Capital Cost User Input:</t>
  </si>
  <si>
    <t>Net zero retrofit Total Capital Cost User Input:</t>
  </si>
  <si>
    <t>LCCA</t>
  </si>
  <si>
    <t>Year</t>
  </si>
  <si>
    <t>Year #</t>
  </si>
  <si>
    <t>Constant Value Row</t>
  </si>
  <si>
    <t>Energy</t>
  </si>
  <si>
    <t>Existing Electricity Energy</t>
  </si>
  <si>
    <t>kWh/ Year</t>
  </si>
  <si>
    <t>Existing Natural Gas Energy</t>
  </si>
  <si>
    <t>Total Existing Energy</t>
  </si>
  <si>
    <t>Proposed Electricity Energy - LOW</t>
  </si>
  <si>
    <t>Proposed Electricity Energy - HIGH</t>
  </si>
  <si>
    <t>Proposed Natural Gas Energy - LOW</t>
  </si>
  <si>
    <t>Proposed Natural Gas Energy - HIGH</t>
  </si>
  <si>
    <t>Total Proposed Energy - LOW</t>
  </si>
  <si>
    <t>Total Proposed Energy - HIGH</t>
  </si>
  <si>
    <t>Emissions</t>
  </si>
  <si>
    <t>kg CO2e/m3</t>
  </si>
  <si>
    <t>kg CO2e/kWh</t>
  </si>
  <si>
    <t>Existing Electricity Emissions</t>
  </si>
  <si>
    <t>kg CO2e</t>
  </si>
  <si>
    <t>Existing Natural Gas Emissions</t>
  </si>
  <si>
    <t>Existing District Energy Emissions</t>
  </si>
  <si>
    <t>Existing Total Emissions</t>
  </si>
  <si>
    <t>Proposed Electricity Emissions - LOW</t>
  </si>
  <si>
    <t>Proposed Electricity Emissions - HIGH</t>
  </si>
  <si>
    <t>Proposed Natural Gas Emissions - LOW</t>
  </si>
  <si>
    <t>Proposed Natural Gas Emissions - HIGH</t>
  </si>
  <si>
    <t>Proposed District Energy Emissions - LOW</t>
  </si>
  <si>
    <t>Proposed District Energy Emissions - HIGH</t>
  </si>
  <si>
    <t>Proposed Total Emissions - LOW</t>
  </si>
  <si>
    <t>Proposed Total Emissions - HIGH</t>
  </si>
  <si>
    <t>Operational Costs</t>
  </si>
  <si>
    <t>Electricity Cost Rate</t>
  </si>
  <si>
    <t>Natural Gas Cost Rate</t>
  </si>
  <si>
    <t>Existing Natural Gas Operational Cost</t>
  </si>
  <si>
    <t>Existing District Operational Cost</t>
  </si>
  <si>
    <t>Total Existing Operational Cost</t>
  </si>
  <si>
    <t>Proposed Electricity Cost - LOW</t>
  </si>
  <si>
    <t>Proposed Electricity Cost - HIGH</t>
  </si>
  <si>
    <t>Proposed Natural Gas Cost - LOW</t>
  </si>
  <si>
    <t>Proposed Natural Gas Cost - HIGH</t>
  </si>
  <si>
    <t>Total Proposed Operational Cost - LOW</t>
  </si>
  <si>
    <t>Total Proposed Operational Cost - HIGH</t>
  </si>
  <si>
    <t>Carbon Tax</t>
  </si>
  <si>
    <t>Existing Carbon Tax</t>
  </si>
  <si>
    <t>Proposed Carbon Tax - LOW</t>
  </si>
  <si>
    <t>Proposed Carbon Tax - HIGH</t>
  </si>
  <si>
    <t>Total Existing Operational Costs</t>
  </si>
  <si>
    <t>Total Proposed Operational Costs - LOW</t>
  </si>
  <si>
    <t>Total Proposed Operational Costs - HIGH</t>
  </si>
  <si>
    <t>Capital Costs</t>
  </si>
  <si>
    <t>Proposed Retrofit Cost - LOW</t>
  </si>
  <si>
    <t>Proposed Retrofit Cost - HIGH</t>
  </si>
  <si>
    <t>Net Present Value</t>
  </si>
  <si>
    <t>Existing Net Present Value</t>
  </si>
  <si>
    <t>Proposed Net Present Value - LOW</t>
  </si>
  <si>
    <t>Proposed Net Present Value - HIGH</t>
  </si>
  <si>
    <t>Charts</t>
  </si>
  <si>
    <t>TOTAL ENERGY USE</t>
  </si>
  <si>
    <t>Proposed - LOW</t>
  </si>
  <si>
    <t>Proposed - HIGH</t>
  </si>
  <si>
    <t>Labels</t>
  </si>
  <si>
    <t>Totals</t>
  </si>
  <si>
    <t>Carbon Tax Costs</t>
  </si>
  <si>
    <t xml:space="preserve">Unit: </t>
  </si>
  <si>
    <t>Strip Mall</t>
  </si>
  <si>
    <t>Mixed Use</t>
  </si>
  <si>
    <t>Condominium</t>
  </si>
  <si>
    <t xml:space="preserve">GHGI Lower </t>
  </si>
  <si>
    <t>GHGI Upper</t>
  </si>
  <si>
    <t>Chart View</t>
  </si>
  <si>
    <t>District System Type</t>
  </si>
  <si>
    <t>Carbon Tax Rate Scenario</t>
  </si>
  <si>
    <t>Energy (kWh)</t>
  </si>
  <si>
    <t>No</t>
  </si>
  <si>
    <t>Emissions (kgCO2e)</t>
  </si>
  <si>
    <t>Energy (kWh), Emissions (kgCO2e)</t>
  </si>
  <si>
    <t>ft2</t>
  </si>
  <si>
    <t>Existing Building EUI Database</t>
  </si>
  <si>
    <t xml:space="preserve">Source: </t>
  </si>
  <si>
    <t>Cluster</t>
  </si>
  <si>
    <t>Fuel Energy (kWh/m²)</t>
  </si>
  <si>
    <t>Electric Energy (kWh/m²)</t>
  </si>
  <si>
    <t>TEUI
(kWh/ m²)</t>
  </si>
  <si>
    <t>Mid Rise Office</t>
  </si>
  <si>
    <t>Educational Facility</t>
  </si>
  <si>
    <t>Big Box Store</t>
  </si>
  <si>
    <t>Low Rise Office</t>
  </si>
  <si>
    <t>Single Family Home Attached</t>
  </si>
  <si>
    <t>Low Rise Rental Apartment</t>
  </si>
  <si>
    <t>Yes/No</t>
  </si>
  <si>
    <t xml:space="preserve"> Year</t>
  </si>
  <si>
    <t>Retrofit List - Dynamic</t>
  </si>
  <si>
    <t>Yes</t>
  </si>
  <si>
    <t>Retrofit Data</t>
  </si>
  <si>
    <t>Code</t>
  </si>
  <si>
    <t>Total EUI - Lower</t>
  </si>
  <si>
    <t>Total - EUI - Upper</t>
  </si>
  <si>
    <t>GHGI Average</t>
  </si>
  <si>
    <t>Phase 2 Tables</t>
  </si>
  <si>
    <t>ARUP Assumption</t>
  </si>
  <si>
    <t>Building Envelope - High Performance Glazing with Enhanced Air Sealing</t>
  </si>
  <si>
    <t>Building Envelope - High Performance Glazing, Wall Insulation, &amp; Roof Insulation</t>
  </si>
  <si>
    <t>Domestic Hot Water - Heat Pump and Electric Resistance Water Heaters</t>
  </si>
  <si>
    <t>Lighting and Lighting Controls</t>
  </si>
  <si>
    <t>Renewables - Solar PV</t>
  </si>
  <si>
    <t>Renewables - Solar Thermal</t>
  </si>
  <si>
    <t>Gas Appliances - Electric and Induction Ranges</t>
  </si>
  <si>
    <t>Domestic Hot Water - Electric Water Heater</t>
  </si>
  <si>
    <t>Heating, Cooling, Ventilation Systems - Rooftop Air Source Heat Pump with Electric Baseboard</t>
  </si>
  <si>
    <t xml:space="preserve">Building Envelope - High Performance Envelope (Recladding, Air Sealing, New Insulation) </t>
  </si>
  <si>
    <t>Gas Appliances - Electric and Induction Ranges &amp; Heat Pump Electric Dryers</t>
  </si>
  <si>
    <t>Appliance Upgrades &amp; Lighting and Lighting Controls</t>
  </si>
  <si>
    <t>Heating, Cooling, Ventilation Systems - Air Source Heat Pumps + Energy Recovery Ventilators</t>
  </si>
  <si>
    <t>Heating, Cooling, Ventilation Systems - Ground Source Heat Pumps + Energy Recovery Ventilators</t>
  </si>
  <si>
    <t>Single Family Home Detached</t>
  </si>
  <si>
    <t>Hold Period</t>
  </si>
  <si>
    <t>Cost Scenarios</t>
  </si>
  <si>
    <t>BAU:</t>
  </si>
  <si>
    <t>Retrofit LOW</t>
  </si>
  <si>
    <t>Retrofit HIGH</t>
  </si>
  <si>
    <t>Cost Calculation Option</t>
  </si>
  <si>
    <t>Selected Option</t>
  </si>
  <si>
    <t>Electricity Emission Rates</t>
  </si>
  <si>
    <t>Existing</t>
  </si>
  <si>
    <t>2025-2030</t>
  </si>
  <si>
    <t>2031-2035</t>
  </si>
  <si>
    <t>2036-2040</t>
  </si>
  <si>
    <t>2041-2045</t>
  </si>
  <si>
    <t>Emission Rates</t>
  </si>
  <si>
    <t>District Energy - Steam</t>
  </si>
  <si>
    <t>District Energy -  Chilled Water</t>
  </si>
  <si>
    <t>kgCO2e/lb</t>
  </si>
  <si>
    <t xml:space="preserve"> Provided by COT</t>
  </si>
  <si>
    <t>kgCO2e/kWhe</t>
  </si>
  <si>
    <t>https://portfoliomanager.energystar.gov/pdf/reference/Thermal%20Conversions.pdf</t>
  </si>
  <si>
    <t>Btu/Lb</t>
  </si>
  <si>
    <t>Kwh/lb</t>
  </si>
  <si>
    <t>kgCO2e/tonhr</t>
  </si>
  <si>
    <t>kWh/ton-hour</t>
  </si>
  <si>
    <t>No Carbon Tax</t>
  </si>
  <si>
    <t>User Defined Carbon Tax</t>
  </si>
  <si>
    <t>Hold Period - Letter</t>
  </si>
  <si>
    <t>Total Capital Costs</t>
  </si>
  <si>
    <t>Total Operational Costs</t>
  </si>
  <si>
    <t>Total EMISSIONS</t>
  </si>
  <si>
    <t>At End of Hold Year</t>
  </si>
  <si>
    <t>Rounding Table</t>
  </si>
  <si>
    <t>Natural Gas (kwh/m2)</t>
  </si>
  <si>
    <t>Electricity  (kwh/m2)</t>
  </si>
  <si>
    <t>Total Energy Savings - LOW</t>
  </si>
  <si>
    <t>Total Energy Savings - HIGH</t>
  </si>
  <si>
    <t>% Change</t>
  </si>
  <si>
    <t>Natural Gas - EUI HIGH</t>
  </si>
  <si>
    <t>Electricity - EUI LOW</t>
  </si>
  <si>
    <t>Electricity - EUI HIGH</t>
  </si>
  <si>
    <t>Natural Gas - EUI LOW</t>
  </si>
  <si>
    <t>DES - EUI LOW</t>
  </si>
  <si>
    <t>DES - EUI HIGH</t>
  </si>
  <si>
    <t>Proposed - HIGH - Difference</t>
  </si>
  <si>
    <t>Pay Back Period</t>
  </si>
  <si>
    <t>Operational Cost Savings - HIGH</t>
  </si>
  <si>
    <t>Operational Cost Savings - LOW</t>
  </si>
  <si>
    <t>Payback - LOW</t>
  </si>
  <si>
    <t>Payback - HIGH</t>
  </si>
  <si>
    <t>Pay Back Period - LOW</t>
  </si>
  <si>
    <t>Pay Back Period - HIGH</t>
  </si>
  <si>
    <t>Natural Gas Cost Rate:</t>
  </si>
  <si>
    <t>Electricity Cost Rate:</t>
  </si>
  <si>
    <t>Hold Period: ⓘ</t>
  </si>
  <si>
    <r>
      <t xml:space="preserve">Annual Energy Use  </t>
    </r>
    <r>
      <rPr>
        <b/>
        <sz val="11"/>
        <color theme="1" tint="0.499984740745262"/>
        <rFont val="Avenir Next LT Pro"/>
        <family val="2"/>
      </rPr>
      <t>ⓘ</t>
    </r>
  </si>
  <si>
    <r>
      <t xml:space="preserve">Annual GHG Emissions  </t>
    </r>
    <r>
      <rPr>
        <b/>
        <sz val="11"/>
        <color theme="1" tint="0.499984740745262"/>
        <rFont val="Avenir Next LT Pro"/>
        <family val="2"/>
      </rPr>
      <t xml:space="preserve"> ⓘ</t>
    </r>
  </si>
  <si>
    <t xml:space="preserve">Enter your energy use cost rates (if known), excluding delivery costs. 
If energy rates are not known, the following default values will be used: </t>
  </si>
  <si>
    <t>Select a carbon tax scenario:</t>
  </si>
  <si>
    <r>
      <rPr>
        <sz val="20"/>
        <color rgb="FF015A84"/>
        <rFont val="Avenir Next LT Pro"/>
        <family val="2"/>
      </rPr>
      <t>❸</t>
    </r>
    <r>
      <rPr>
        <sz val="11"/>
        <color rgb="FF015A84"/>
        <rFont val="Avenir Next LT Pro"/>
        <family val="2"/>
      </rPr>
      <t xml:space="preserve"> </t>
    </r>
    <r>
      <rPr>
        <b/>
        <sz val="10"/>
        <color rgb="FF015A84"/>
        <rFont val="Avenir Next LT Pro"/>
        <family val="2"/>
      </rPr>
      <t>Select your net zero retrofit measure</t>
    </r>
  </si>
  <si>
    <r>
      <rPr>
        <sz val="20"/>
        <color rgb="FF015A84"/>
        <rFont val="Avenir Next LT Pro"/>
        <family val="2"/>
      </rPr>
      <t>❹</t>
    </r>
    <r>
      <rPr>
        <sz val="16"/>
        <color rgb="FF015A84"/>
        <rFont val="Avenir Next LT Pro"/>
        <family val="2"/>
      </rPr>
      <t xml:space="preserve"> </t>
    </r>
    <r>
      <rPr>
        <b/>
        <sz val="10"/>
        <color rgb="FF015A84"/>
        <rFont val="Avenir Next LT Pro"/>
        <family val="2"/>
      </rPr>
      <t>Review the net present value inputs</t>
    </r>
  </si>
  <si>
    <t>Life Cycle Cost Analysis (LCCA)</t>
  </si>
  <si>
    <t>This tool can be used to estimate the life cycle cost for a selected net zero retrofit measure in comparison to business as usual operations.</t>
  </si>
  <si>
    <t xml:space="preserve">By implementing the selected net zero measure on the inputted building: </t>
  </si>
  <si>
    <r>
      <t xml:space="preserve">Annual Utility Cost  </t>
    </r>
    <r>
      <rPr>
        <b/>
        <sz val="11"/>
        <color theme="1" tint="0.499984740745262"/>
        <rFont val="Avenir Next LT Pro"/>
        <family val="2"/>
      </rPr>
      <t>ⓘ</t>
    </r>
  </si>
  <si>
    <r>
      <t xml:space="preserve">Annual Carbon Tax Cost  </t>
    </r>
    <r>
      <rPr>
        <b/>
        <sz val="11"/>
        <color theme="1" tint="0.499984740745262"/>
        <rFont val="Avenir Next LT Pro"/>
        <family val="2"/>
      </rPr>
      <t>ⓘ</t>
    </r>
  </si>
  <si>
    <t>Total EUI Reduction - HIGH</t>
  </si>
  <si>
    <t>Total EUI Reduction - LOW</t>
  </si>
  <si>
    <t>% NG - HIGH</t>
  </si>
  <si>
    <t>%Elec - HIGH</t>
  </si>
  <si>
    <t>% NG - LOW</t>
  </si>
  <si>
    <t>%Elec - LOW</t>
  </si>
  <si>
    <t>% Elec Added - LOW</t>
  </si>
  <si>
    <t>% Elec Added - HIGH</t>
  </si>
  <si>
    <t>District Heating Energy Use:</t>
  </si>
  <si>
    <t>District Heating Energy Cost Rate:</t>
  </si>
  <si>
    <t>% DES Added - LOW</t>
  </si>
  <si>
    <t>% DES Added - HIGH</t>
  </si>
  <si>
    <t>Heating, Cooling, Ventilation Systems - Air Source Heat Pumps + Dedicated Outdoor Air</t>
  </si>
  <si>
    <t>Heating, Cooling, Ventilation Systems - Ground Source Heat Pumps + Dedicated Outdoor Air</t>
  </si>
  <si>
    <t>Heating, Cooling, Ventilation, Systems - Air Source Heat Pumps + Energy Recovery Ventilators + Smart Thermostats</t>
  </si>
  <si>
    <t>Heating, Cooling, Ventilation, Systems - Ground Source Heat Pumps + Energy Recovery Ventilators + Smart Thermostats</t>
  </si>
  <si>
    <t>Heating, Cooling, Ventilation Systems - Rooftop Air Source Heat Pumps + Energy Recovery Ventilator</t>
  </si>
  <si>
    <t>Heating, Cooling, Ventilation Systems - Air Source Heat Pumps + Energy Recovery Ventilators + Electric Humidifier</t>
  </si>
  <si>
    <t>Heating, Cooling, Ventilation Systems  - Ground Source Heat Pumps + Energy Recovery Ventilators + Electric Humidifier</t>
  </si>
  <si>
    <t>Heating, Cooling, Ventilation Systems - Rooftop Air Source Heat Pumps + Energy Recovery Ventilators</t>
  </si>
  <si>
    <t>Capital Cost Option:  ⓘ</t>
  </si>
  <si>
    <t>kgCO₂e/kWh</t>
  </si>
  <si>
    <t>$/kgCO₂e</t>
  </si>
  <si>
    <t>m³/year</t>
  </si>
  <si>
    <t>kWh/year</t>
  </si>
  <si>
    <t>kWh/m2</t>
  </si>
  <si>
    <t>Cost - Upper
$/ft2</t>
  </si>
  <si>
    <t>Cost - Lower
$/ft2</t>
  </si>
  <si>
    <t>Dropdown option</t>
  </si>
  <si>
    <t>Cell Ref</t>
  </si>
  <si>
    <t>Column Ref</t>
  </si>
  <si>
    <t>True/False</t>
  </si>
  <si>
    <t>Building Vintage</t>
  </si>
  <si>
    <t>1-storey structure, 1980 construction, &gt;100,000 ft²</t>
  </si>
  <si>
    <t>2-storey structure, 1965 construction</t>
  </si>
  <si>
    <t>20-storey structure, 1975 construction</t>
  </si>
  <si>
    <t>20-storey structure, 1980 construction</t>
  </si>
  <si>
    <t>4-storey structure, 1960 construction</t>
  </si>
  <si>
    <t>13-storey structure, 2000 construction</t>
  </si>
  <si>
    <t>2-storey structure, 1970 construction</t>
  </si>
  <si>
    <t>1-storey structure, 1950 construction, &lt;100,000 ft²</t>
  </si>
  <si>
    <t>3-storey structure, 1990 construction</t>
  </si>
  <si>
    <t>2-storey structure, 1910 construction</t>
  </si>
  <si>
    <t>Building Type Assumption:</t>
  </si>
  <si>
    <t>Annual increase of $15 per tonne</t>
  </si>
  <si>
    <t>District Heating Emission Rate:</t>
  </si>
  <si>
    <t>kgCO2e/kWh</t>
  </si>
  <si>
    <t>Conversion</t>
  </si>
  <si>
    <t>Source</t>
  </si>
  <si>
    <t xml:space="preserve">Select if you want to modify the default net present value inputs? </t>
  </si>
  <si>
    <t>Net Present Value Options</t>
  </si>
  <si>
    <t>Yes - Show Inputs</t>
  </si>
  <si>
    <t>No - Use Defaults</t>
  </si>
  <si>
    <t>Building Vintage (Selected in Phase 2)</t>
  </si>
  <si>
    <t>Source: City of Toronto Net Zero Existing Buildings Strategy - Impact Modeling &amp; Assessment Technical Appendix May 2021</t>
  </si>
  <si>
    <t>COT EX Technical Appendix</t>
  </si>
  <si>
    <t>Calc</t>
  </si>
  <si>
    <t>Do not delete
 # row:</t>
  </si>
  <si>
    <r>
      <t xml:space="preserve">User Defined Retrofit
 </t>
    </r>
    <r>
      <rPr>
        <b/>
        <i/>
        <sz val="10"/>
        <color theme="1"/>
        <rFont val="Avenir Next LT Pro"/>
        <family val="2"/>
      </rPr>
      <t>Premium</t>
    </r>
    <r>
      <rPr>
        <sz val="10"/>
        <color theme="1"/>
        <rFont val="Avenir Next LT Pro"/>
        <family val="2"/>
      </rPr>
      <t xml:space="preserve"> Cost:</t>
    </r>
  </si>
  <si>
    <r>
      <t xml:space="preserve">User Defined 
Business as Usual </t>
    </r>
    <r>
      <rPr>
        <b/>
        <i/>
        <sz val="10"/>
        <color theme="1"/>
        <rFont val="Avenir Next LT Pro"/>
        <family val="2"/>
      </rPr>
      <t>Total</t>
    </r>
    <r>
      <rPr>
        <sz val="10"/>
        <color theme="1"/>
        <rFont val="Avenir Next LT Pro"/>
        <family val="2"/>
      </rPr>
      <t xml:space="preserve"> Cost:</t>
    </r>
  </si>
  <si>
    <r>
      <t xml:space="preserve">User Defined 
Retrofit </t>
    </r>
    <r>
      <rPr>
        <b/>
        <i/>
        <sz val="10"/>
        <color theme="1"/>
        <rFont val="Avenir Next LT Pro"/>
        <family val="2"/>
      </rPr>
      <t>Total</t>
    </r>
    <r>
      <rPr>
        <sz val="10"/>
        <color theme="1"/>
        <rFont val="Avenir Next LT Pro"/>
        <family val="2"/>
      </rPr>
      <t xml:space="preserve"> Cost:</t>
    </r>
  </si>
  <si>
    <t xml:space="preserve">District Energy - Low Carbon DES </t>
  </si>
  <si>
    <t xml:space="preserve">Building Types with Gas Appliances </t>
  </si>
  <si>
    <t>Existing Total Energy Use</t>
  </si>
  <si>
    <t>Low Carbon District Emission Rate:</t>
  </si>
  <si>
    <t>Existing Electricity Operational Cost</t>
  </si>
  <si>
    <t xml:space="preserve">Formula </t>
  </si>
  <si>
    <t>Heating, Cooling, Ventilation Systems - Low Carbon District Energy System + Dedicated Outdoor Air</t>
  </si>
  <si>
    <t>Heating, Cooling, Ventilation Systems - Low Carbon District Energy System + Energy Recovery Ventilators + Electric Humidifier</t>
  </si>
  <si>
    <t>Heating, Cooling, Ventilation Systems - Low Carbon District Energy System + Energy Recovery Ventilators</t>
  </si>
  <si>
    <r>
      <t xml:space="preserve">If business as usual retrofit and/or net zero retrofit </t>
    </r>
    <r>
      <rPr>
        <b/>
        <i/>
        <sz val="10"/>
        <color theme="1"/>
        <rFont val="Avenir Next LT Pro"/>
        <family val="2"/>
      </rPr>
      <t xml:space="preserve">total </t>
    </r>
    <r>
      <rPr>
        <sz val="10"/>
        <color theme="1"/>
        <rFont val="Avenir Next LT Pro"/>
        <family val="2"/>
      </rPr>
      <t>costs are known:</t>
    </r>
  </si>
  <si>
    <t>1 - User Defined or Default Retrofit Premium Costs</t>
  </si>
  <si>
    <t>2 - User Defined BAU Total &amp; Retrofit Premium Costs</t>
  </si>
  <si>
    <t>3 - User Defined BAU Total &amp; Retrofit Total Costs</t>
  </si>
  <si>
    <t>(Assumes $110/mWh) https://www.surrey.ca/about-surrey/sustainability-energy-services/surrey-city-energy/district-energy-rates-and-billing</t>
  </si>
  <si>
    <t>Pull from Retrofit Data</t>
  </si>
  <si>
    <t>- Assumes User Input is same value for high and low</t>
  </si>
  <si>
    <t>ekWh/year</t>
  </si>
  <si>
    <t>$/ekWh</t>
  </si>
  <si>
    <t>kgCO₂e/ekWh</t>
  </si>
  <si>
    <t xml:space="preserve">Enter your building's energy use (if known). If energy use is not known, the following default values will be used based on the building characteristics you inputted: 
</t>
  </si>
  <si>
    <r>
      <t xml:space="preserve">Instructions - </t>
    </r>
    <r>
      <rPr>
        <sz val="10"/>
        <color theme="1"/>
        <rFont val="Avenir Next LT Pro"/>
        <family val="2"/>
      </rPr>
      <t>To begin, input the characteristics of your building, followed by the building's current energy use. Next, select a net zero retrofit measure and review the net present value inputs. Any inputs with default values can be left blank if the values are not known. Once completed, scroll down to the next page to view the LCCA results for the selected net zero retrofit.</t>
    </r>
  </si>
  <si>
    <r>
      <rPr>
        <b/>
        <sz val="20"/>
        <color rgb="FF015A84"/>
        <rFont val="Avenir Next LT Pro"/>
        <family val="2"/>
      </rPr>
      <t>❶</t>
    </r>
    <r>
      <rPr>
        <b/>
        <sz val="12"/>
        <color rgb="FF015A84"/>
        <rFont val="Avenir Next LT Pro"/>
        <family val="2"/>
      </rPr>
      <t xml:space="preserve"> </t>
    </r>
    <r>
      <rPr>
        <b/>
        <sz val="10"/>
        <color rgb="FF015A84"/>
        <rFont val="Avenir Next LT Pro"/>
        <family val="2"/>
      </rPr>
      <t>Input your building's characteristics</t>
    </r>
  </si>
  <si>
    <r>
      <rPr>
        <b/>
        <sz val="20"/>
        <color rgb="FF015A84"/>
        <rFont val="Avenir Next LT Pro"/>
        <family val="2"/>
      </rPr>
      <t>❷</t>
    </r>
    <r>
      <rPr>
        <b/>
        <sz val="10"/>
        <color rgb="FF015A84"/>
        <rFont val="Avenir Next LT Pro"/>
        <family val="2"/>
      </rPr>
      <t xml:space="preserve"> Input your current building's energy data</t>
    </r>
  </si>
  <si>
    <t xml:space="preserve">Is the building currently connected to a District heating system? </t>
  </si>
  <si>
    <t xml:space="preserve">Net Zero Retrofit Measure: </t>
  </si>
  <si>
    <t>Ensure the building type is entered before selecting a net zero retrofit measure.</t>
  </si>
  <si>
    <t>Input the following metrics for the net present value calculation. The default rate will be used for all cells left blank.</t>
  </si>
  <si>
    <t>Selected Retrofit:</t>
  </si>
  <si>
    <r>
      <t xml:space="preserve">Assumed Characteristics:
</t>
    </r>
    <r>
      <rPr>
        <i/>
        <sz val="10"/>
        <color rgb="FF000000"/>
        <rFont val="Avenir Next LT Pro"/>
        <family val="2"/>
      </rPr>
      <t>Refer to the COT Sector-Specific Retrofit Guides for further building characteristics</t>
    </r>
  </si>
  <si>
    <t>In comparison to business as usual operations, the selected retrofit will result in annual building energy use to be:</t>
  </si>
  <si>
    <t>In comparison to business as usual operations, the selected retrofit will result in annual building greenhouse gas emissions to be:</t>
  </si>
  <si>
    <t>In comparison to business as usual capital investments, the selected retrofit will result in:</t>
  </si>
  <si>
    <t>In comparison to business as usual operations, the selected retrofit will result in annual utility costs to be:</t>
  </si>
  <si>
    <t>In comparison to business as usual operations, the selected retrofit will result in annual building carbon tax to be:</t>
  </si>
  <si>
    <t>In comparison to business as usual operations, the selected retrofit will result in total costs during the hold period to be:</t>
  </si>
  <si>
    <t>Discount Rate</t>
  </si>
  <si>
    <t>Accumulative sum for Hold Years</t>
  </si>
  <si>
    <t xml:space="preserve">Existing District Energy </t>
  </si>
  <si>
    <t>Proposed District Energy  - LOW</t>
  </si>
  <si>
    <t>Proposed District Energy  _ HIGH</t>
  </si>
  <si>
    <t>District Cost  Rate</t>
  </si>
  <si>
    <t>Proposed District Cost  - LOW</t>
  </si>
  <si>
    <t>Proposed District Cost  _ HIGH</t>
  </si>
  <si>
    <t>Accumulative Operational Cost Savings - LOW</t>
  </si>
  <si>
    <t>Accumulative Operational Cost Savings - HIGH</t>
  </si>
  <si>
    <t>Business as Usual Capital Cost</t>
  </si>
  <si>
    <t>Business as Usual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</si>
</sst>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8" formatCode="&quot;$&quot;#,##0.00;[Red]\-&quot;$&quot;#,##0.00"/>
    <numFmt numFmtId="44" formatCode="_-&quot;$&quot;* #,##0.00_-;\-&quot;$&quot;* #,##0.00_-;_-&quot;$&quot;* &quot;-&quot;??_-;_-@_-"/>
    <numFmt numFmtId="43" formatCode="_-* #,##0.00_-;\-* #,##0.00_-;_-* &quot;-&quot;??_-;_-@_-"/>
    <numFmt numFmtId="164" formatCode="_(* #,##0.00_);_(* \(#,##0.00\);_(* &quot;-&quot;??_);_(@_)"/>
    <numFmt numFmtId="165" formatCode="_-* #,##0_-;\-* #,##0_-;_-* &quot;-&quot;??_-;_-@_-"/>
    <numFmt numFmtId="166" formatCode="_-* #,##0.000_-;\-* #,##0.000_-;_-* &quot;-&quot;??_-;_-@_-"/>
    <numFmt numFmtId="167" formatCode="_-* #,##0.0000_-;\-* #,##0.0000_-;_-* &quot;-&quot;??_-;_-@_-"/>
    <numFmt numFmtId="168" formatCode="_-* #,##0.00000_-;\-* #,##0.00000_-;_-* &quot;-&quot;??_-;_-@_-"/>
    <numFmt numFmtId="169" formatCode="_-&quot;$&quot;* #,##0_-;\-&quot;$&quot;* #,##0_-;_-&quot;$&quot;* &quot;-&quot;??_-;_-@_-"/>
    <numFmt numFmtId="170" formatCode="#,##0\ &quot;ekWh/yr&quot;"/>
    <numFmt numFmtId="171" formatCode="0.0%"/>
    <numFmt numFmtId="172" formatCode="0.000%"/>
  </numFmts>
  <fonts count="70"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b/>
      <sz val="11"/>
      <color theme="1"/>
      <name val="Calibri"/>
      <family val="2"/>
      <scheme val="minor"/>
    </font>
    <font>
      <i/>
      <sz val="11"/>
      <color theme="1"/>
      <name val="Calibri"/>
      <family val="2"/>
      <scheme val="minor"/>
    </font>
    <font>
      <sz val="11"/>
      <name val="Calibri"/>
      <family val="2"/>
      <scheme val="minor"/>
    </font>
    <font>
      <i/>
      <sz val="11"/>
      <color theme="8"/>
      <name val="Calibri"/>
      <family val="2"/>
      <scheme val="minor"/>
    </font>
    <font>
      <sz val="9"/>
      <color theme="1"/>
      <name val="Calibri"/>
      <family val="2"/>
      <scheme val="minor"/>
    </font>
    <font>
      <b/>
      <sz val="11"/>
      <color theme="0"/>
      <name val="Calibri"/>
      <family val="2"/>
      <scheme val="minor"/>
    </font>
    <font>
      <sz val="11"/>
      <color theme="1"/>
      <name val="Calibri Light"/>
      <family val="2"/>
      <scheme val="major"/>
    </font>
    <font>
      <u/>
      <sz val="11"/>
      <color theme="10"/>
      <name val="Calibri"/>
      <family val="2"/>
      <scheme val="minor"/>
    </font>
    <font>
      <sz val="11"/>
      <color rgb="FF000000"/>
      <name val="Calibri"/>
      <family val="2"/>
      <scheme val="minor"/>
    </font>
    <font>
      <sz val="11"/>
      <color theme="1"/>
      <name val="Calibri"/>
      <family val="2"/>
      <scheme val="minor"/>
    </font>
    <font>
      <b/>
      <sz val="26"/>
      <color rgb="FF1E8199"/>
      <name val="Avenir Next LT Pro"/>
      <family val="2"/>
    </font>
    <font>
      <b/>
      <sz val="36"/>
      <color rgb="FF015A84"/>
      <name val="Avenir Next LT Pro"/>
      <family val="2"/>
    </font>
    <font>
      <b/>
      <u/>
      <sz val="11"/>
      <color rgb="FF1E8199"/>
      <name val="Avenir Next LT Pro"/>
      <family val="2"/>
    </font>
    <font>
      <sz val="11"/>
      <color theme="1"/>
      <name val="Avenir Next LT Pro"/>
      <family val="2"/>
    </font>
    <font>
      <b/>
      <sz val="16"/>
      <color theme="3"/>
      <name val="Avenir Next LT Pro"/>
      <family val="2"/>
    </font>
    <font>
      <sz val="16"/>
      <color theme="1"/>
      <name val="Avenir Next LT Pro"/>
      <family val="2"/>
    </font>
    <font>
      <i/>
      <sz val="10"/>
      <color theme="1"/>
      <name val="Avenir Next LT Pro"/>
      <family val="2"/>
    </font>
    <font>
      <b/>
      <sz val="14"/>
      <color theme="1"/>
      <name val="Avenir Next LT Pro"/>
      <family val="2"/>
    </font>
    <font>
      <b/>
      <sz val="11"/>
      <color theme="1"/>
      <name val="Avenir Next LT Pro"/>
      <family val="2"/>
    </font>
    <font>
      <b/>
      <sz val="18"/>
      <color rgb="FF015A84"/>
      <name val="Avenir Next LT Pro"/>
      <family val="2"/>
    </font>
    <font>
      <b/>
      <sz val="12"/>
      <color rgb="FF015A84"/>
      <name val="Avenir Next LT Pro"/>
      <family val="2"/>
    </font>
    <font>
      <b/>
      <sz val="10"/>
      <color rgb="FF015A84"/>
      <name val="Avenir Next LT Pro"/>
      <family val="2"/>
    </font>
    <font>
      <sz val="10"/>
      <name val="Avenir Next LT Pro"/>
      <family val="2"/>
    </font>
    <font>
      <b/>
      <i/>
      <sz val="10"/>
      <color theme="1"/>
      <name val="Avenir Next LT Pro"/>
      <family val="2"/>
    </font>
    <font>
      <b/>
      <sz val="20"/>
      <color rgb="FF015A84"/>
      <name val="Avenir Next LT Pro"/>
      <family val="2"/>
    </font>
    <font>
      <sz val="10"/>
      <color theme="1"/>
      <name val="Avenir Next LT Pro"/>
      <family val="2"/>
    </font>
    <font>
      <sz val="11"/>
      <color rgb="FF015A84"/>
      <name val="Avenir Next LT Pro"/>
      <family val="2"/>
    </font>
    <font>
      <sz val="20"/>
      <color rgb="FF015A84"/>
      <name val="Avenir Next LT Pro"/>
      <family val="2"/>
    </font>
    <font>
      <sz val="16"/>
      <color rgb="FF015A84"/>
      <name val="Avenir Next LT Pro"/>
      <family val="2"/>
    </font>
    <font>
      <b/>
      <sz val="12"/>
      <color theme="1"/>
      <name val="Avenir Next LT Pro"/>
      <family val="2"/>
    </font>
    <font>
      <sz val="10"/>
      <color rgb="FF000000"/>
      <name val="Avenir Next LT Pro"/>
      <family val="2"/>
    </font>
    <font>
      <sz val="9"/>
      <color theme="1"/>
      <name val="Avenir Next LT Pro"/>
      <family val="2"/>
    </font>
    <font>
      <sz val="11"/>
      <color theme="9" tint="-0.249977111117893"/>
      <name val="Calibri"/>
      <family val="2"/>
      <scheme val="minor"/>
    </font>
    <font>
      <sz val="11"/>
      <color rgb="FF1F1F1F"/>
      <name val="Arial"/>
      <family val="2"/>
    </font>
    <font>
      <sz val="9"/>
      <color indexed="81"/>
      <name val="Tahoma"/>
      <family val="2"/>
    </font>
    <font>
      <b/>
      <sz val="16"/>
      <color theme="1"/>
      <name val="Calibri"/>
      <family val="2"/>
      <scheme val="minor"/>
    </font>
    <font>
      <b/>
      <sz val="28"/>
      <name val="Avenir Next LT Pro"/>
      <family val="2"/>
    </font>
    <font>
      <b/>
      <sz val="9"/>
      <color indexed="81"/>
      <name val="Tahoma"/>
      <family val="2"/>
    </font>
    <font>
      <b/>
      <sz val="11"/>
      <color theme="1" tint="0.499984740745262"/>
      <name val="Avenir Next LT Pro"/>
      <family val="2"/>
    </font>
    <font>
      <b/>
      <sz val="11"/>
      <color theme="1"/>
      <name val="Arial"/>
      <family val="2"/>
    </font>
    <font>
      <b/>
      <sz val="14"/>
      <color theme="1"/>
      <name val="Calibri"/>
      <family val="2"/>
      <scheme val="minor"/>
    </font>
    <font>
      <sz val="9"/>
      <color theme="1"/>
      <name val="Arial"/>
      <family val="2"/>
    </font>
    <font>
      <sz val="9"/>
      <color rgb="FF000000"/>
      <name val="Avenir Next LT Pro"/>
      <family val="2"/>
    </font>
    <font>
      <sz val="9"/>
      <color theme="1"/>
      <name val="Segoe UI"/>
      <family val="2"/>
    </font>
    <font>
      <sz val="10"/>
      <color rgb="FF000000"/>
      <name val="Times New Roman"/>
      <family val="1"/>
    </font>
    <font>
      <sz val="10"/>
      <color theme="0" tint="-4.9989318521683403E-2"/>
      <name val="Avenir Next LT Pro"/>
      <family val="2"/>
    </font>
    <font>
      <b/>
      <sz val="8"/>
      <color rgb="FF000000"/>
      <name val="Avenir Next LT Pro"/>
      <family val="2"/>
    </font>
    <font>
      <b/>
      <sz val="10"/>
      <color theme="1"/>
      <name val="Avenir Next LT Pro"/>
      <family val="2"/>
    </font>
    <font>
      <b/>
      <sz val="10"/>
      <color theme="9"/>
      <name val="Avenir Next LT Pro"/>
      <family val="2"/>
    </font>
    <font>
      <b/>
      <sz val="10"/>
      <name val="Avenir Next LT Pro"/>
      <family val="2"/>
    </font>
    <font>
      <b/>
      <sz val="16"/>
      <color theme="1" tint="0.499984740745262"/>
      <name val="Avenir Next LT Pro"/>
      <family val="2"/>
    </font>
    <font>
      <b/>
      <sz val="10"/>
      <color theme="1" tint="0.499984740745262"/>
      <name val="Avenir Next LT Pro"/>
      <family val="2"/>
    </font>
    <font>
      <b/>
      <sz val="10"/>
      <color theme="0" tint="-0.499984740745262"/>
      <name val="Avenir Next LT Pro"/>
      <family val="2"/>
    </font>
    <font>
      <sz val="10"/>
      <color theme="1" tint="0.34998626667073579"/>
      <name val="Avenir Next LT Pro"/>
      <family val="2"/>
    </font>
    <font>
      <b/>
      <i/>
      <sz val="16"/>
      <color rgb="FFC00000"/>
      <name val="Avenir Next LT Pro"/>
      <family val="2"/>
    </font>
    <font>
      <u/>
      <sz val="11"/>
      <name val="Calibri"/>
      <family val="2"/>
      <scheme val="minor"/>
    </font>
    <font>
      <sz val="10"/>
      <color theme="1"/>
      <name val="Arial"/>
      <family val="2"/>
    </font>
    <font>
      <i/>
      <sz val="9"/>
      <color indexed="81"/>
      <name val="Tahoma"/>
      <family val="2"/>
    </font>
    <font>
      <b/>
      <i/>
      <sz val="9"/>
      <color indexed="81"/>
      <name val="Tahoma"/>
      <family val="2"/>
    </font>
    <font>
      <i/>
      <sz val="11"/>
      <color theme="0" tint="-0.499984740745262"/>
      <name val="Calibri"/>
      <family val="2"/>
      <scheme val="minor"/>
    </font>
    <font>
      <sz val="11"/>
      <color theme="0" tint="-0.499984740745262"/>
      <name val="Calibri"/>
      <family val="2"/>
      <scheme val="minor"/>
    </font>
    <font>
      <b/>
      <sz val="9"/>
      <color indexed="81"/>
      <name val="Tahoma"/>
      <charset val="1"/>
    </font>
    <font>
      <i/>
      <sz val="10"/>
      <color rgb="FF000000"/>
      <name val="Avenir Next LT Pro"/>
      <family val="2"/>
    </font>
  </fonts>
  <fills count="1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015A84"/>
        <bgColor indexed="64"/>
      </patternFill>
    </fill>
    <fill>
      <patternFill patternType="solid">
        <fgColor rgb="FFFFFF00"/>
        <bgColor indexed="64"/>
      </patternFill>
    </fill>
    <fill>
      <patternFill patternType="solid">
        <fgColor rgb="FFF2F2F2"/>
        <bgColor indexed="64"/>
      </patternFill>
    </fill>
    <fill>
      <patternFill patternType="solid">
        <fgColor rgb="FFF0F8FB"/>
        <bgColor indexed="64"/>
      </patternFill>
    </fill>
    <fill>
      <patternFill patternType="solid">
        <fgColor theme="0" tint="-0.14999847407452621"/>
        <bgColor indexed="64"/>
      </patternFill>
    </fill>
    <fill>
      <patternFill patternType="solid">
        <fgColor theme="4"/>
        <bgColor indexed="64"/>
      </patternFill>
    </fill>
    <fill>
      <patternFill patternType="solid">
        <fgColor theme="9" tint="0.79998168889431442"/>
        <bgColor indexed="64"/>
      </patternFill>
    </fill>
    <fill>
      <patternFill patternType="solid">
        <fgColor rgb="FFCBE7F1"/>
        <bgColor indexed="64"/>
      </patternFill>
    </fill>
    <fill>
      <patternFill patternType="solid">
        <fgColor theme="4" tint="0.79998168889431442"/>
        <bgColor indexed="64"/>
      </patternFill>
    </fill>
    <fill>
      <patternFill patternType="solid">
        <fgColor theme="0" tint="-0.249977111117893"/>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bottom style="thin">
        <color theme="0" tint="-0.249977111117893"/>
      </bottom>
      <diagonal/>
    </border>
    <border>
      <left style="thin">
        <color theme="2" tint="-9.9978637043366805E-2"/>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right style="thin">
        <color theme="0" tint="-0.249977111117893"/>
      </right>
      <top/>
      <bottom style="thin">
        <color theme="0" tint="-0.249977111117893"/>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theme="0" tint="-0.249977111117893"/>
      </top>
      <bottom/>
      <diagonal/>
    </border>
    <border>
      <left style="thin">
        <color theme="0" tint="-0.249977111117893"/>
      </left>
      <right/>
      <top style="thin">
        <color theme="0" tint="-0.249977111117893"/>
      </top>
      <bottom/>
      <diagonal/>
    </border>
    <border>
      <left/>
      <right style="thin">
        <color theme="0" tint="-0.249977111117893"/>
      </right>
      <top style="thin">
        <color theme="0" tint="-0.249977111117893"/>
      </top>
      <bottom/>
      <diagonal/>
    </border>
    <border>
      <left style="thin">
        <color indexed="64"/>
      </left>
      <right style="thin">
        <color indexed="64"/>
      </right>
      <top/>
      <bottom style="thin">
        <color indexed="64"/>
      </bottom>
      <diagonal/>
    </border>
    <border>
      <left/>
      <right/>
      <top style="thin">
        <color theme="0" tint="-0.24994659260841701"/>
      </top>
      <bottom/>
      <diagonal/>
    </border>
    <border>
      <left/>
      <right style="thin">
        <color theme="0" tint="-0.24994659260841701"/>
      </right>
      <top/>
      <bottom/>
      <diagonal/>
    </border>
    <border>
      <left/>
      <right/>
      <top/>
      <bottom style="thin">
        <color theme="0" tint="-0.24994659260841701"/>
      </bottom>
      <diagonal/>
    </border>
    <border>
      <left style="thin">
        <color theme="0" tint="-0.24994659260841701"/>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5">
    <xf numFmtId="0" fontId="0" fillId="0" borderId="0"/>
    <xf numFmtId="0" fontId="14" fillId="0" borderId="0" applyNumberFormat="0" applyFill="0" applyBorder="0" applyAlignment="0" applyProtection="0"/>
    <xf numFmtId="43" fontId="16" fillId="0" borderId="0" applyFont="0" applyFill="0" applyBorder="0" applyAlignment="0" applyProtection="0"/>
    <xf numFmtId="0" fontId="6" fillId="0" borderId="0"/>
    <xf numFmtId="44" fontId="16" fillId="0" borderId="0" applyFont="0" applyFill="0" applyBorder="0" applyAlignment="0" applyProtection="0"/>
    <xf numFmtId="9" fontId="16" fillId="0" borderId="0" applyFont="0" applyFill="0" applyBorder="0" applyAlignment="0" applyProtection="0"/>
    <xf numFmtId="0" fontId="5" fillId="0" borderId="0"/>
    <xf numFmtId="0" fontId="51" fillId="0" borderId="0"/>
    <xf numFmtId="164" fontId="16" fillId="0" borderId="0" applyFont="0" applyFill="0" applyBorder="0" applyAlignment="0" applyProtection="0"/>
    <xf numFmtId="43" fontId="16" fillId="0" borderId="0" applyFont="0" applyFill="0" applyBorder="0" applyAlignment="0" applyProtection="0"/>
    <xf numFmtId="0" fontId="2" fillId="0" borderId="0"/>
    <xf numFmtId="44" fontId="16" fillId="0" borderId="0" applyFont="0" applyFill="0" applyBorder="0" applyAlignment="0" applyProtection="0"/>
    <xf numFmtId="0" fontId="2" fillId="0" borderId="0"/>
    <xf numFmtId="43" fontId="16" fillId="0" borderId="0" applyFont="0" applyFill="0" applyBorder="0" applyAlignment="0" applyProtection="0"/>
    <xf numFmtId="43" fontId="16" fillId="0" borderId="0" applyFont="0" applyFill="0" applyBorder="0" applyAlignment="0" applyProtection="0"/>
  </cellStyleXfs>
  <cellXfs count="336">
    <xf numFmtId="0" fontId="0" fillId="0" borderId="0" xfId="0"/>
    <xf numFmtId="0" fontId="7" fillId="0" borderId="0" xfId="0" applyFont="1"/>
    <xf numFmtId="0" fontId="0" fillId="0" borderId="1" xfId="0" applyBorder="1"/>
    <xf numFmtId="0" fontId="0" fillId="0" borderId="0" xfId="0" applyAlignment="1">
      <alignment horizontal="right"/>
    </xf>
    <xf numFmtId="0" fontId="7" fillId="0" borderId="0" xfId="0" applyFont="1" applyAlignment="1">
      <alignment horizontal="right"/>
    </xf>
    <xf numFmtId="0" fontId="8" fillId="0" borderId="0" xfId="0" applyFont="1"/>
    <xf numFmtId="0" fontId="7" fillId="0" borderId="0" xfId="0" applyFont="1" applyAlignment="1">
      <alignment horizontal="center"/>
    </xf>
    <xf numFmtId="0" fontId="0" fillId="0" borderId="0" xfId="0" applyAlignment="1">
      <alignment horizontal="center"/>
    </xf>
    <xf numFmtId="0" fontId="7" fillId="0" borderId="0" xfId="0" applyFont="1" applyAlignment="1">
      <alignment horizontal="left"/>
    </xf>
    <xf numFmtId="0" fontId="0" fillId="0" borderId="2" xfId="0" applyBorder="1" applyAlignment="1">
      <alignment horizontal="left"/>
    </xf>
    <xf numFmtId="0" fontId="0" fillId="0" borderId="4" xfId="0" applyBorder="1" applyAlignment="1">
      <alignment horizontal="right"/>
    </xf>
    <xf numFmtId="0" fontId="0" fillId="0" borderId="3" xfId="0" applyBorder="1" applyAlignment="1">
      <alignment horizontal="center"/>
    </xf>
    <xf numFmtId="0" fontId="10" fillId="0" borderId="0" xfId="0" applyFont="1"/>
    <xf numFmtId="0" fontId="12" fillId="2" borderId="1" xfId="0" applyFont="1" applyFill="1" applyBorder="1"/>
    <xf numFmtId="0" fontId="13" fillId="0" borderId="0" xfId="0" applyFont="1"/>
    <xf numFmtId="0" fontId="9" fillId="0" borderId="0" xfId="1" applyFont="1"/>
    <xf numFmtId="0" fontId="12" fillId="2" borderId="1" xfId="0" applyFont="1" applyFill="1" applyBorder="1" applyAlignment="1">
      <alignment horizontal="left" vertical="center"/>
    </xf>
    <xf numFmtId="0" fontId="12" fillId="2" borderId="0" xfId="0" applyFont="1" applyFill="1"/>
    <xf numFmtId="1" fontId="0" fillId="0" borderId="1" xfId="0" applyNumberFormat="1" applyBorder="1"/>
    <xf numFmtId="0" fontId="9" fillId="0" borderId="1" xfId="0" applyFont="1" applyBorder="1" applyAlignment="1">
      <alignment horizontal="left" vertical="center"/>
    </xf>
    <xf numFmtId="0" fontId="15" fillId="0" borderId="0" xfId="0" applyFont="1"/>
    <xf numFmtId="165" fontId="0" fillId="0" borderId="0" xfId="2" applyNumberFormat="1" applyFont="1"/>
    <xf numFmtId="165" fontId="0" fillId="0" borderId="3" xfId="2" applyNumberFormat="1" applyFont="1" applyBorder="1"/>
    <xf numFmtId="0" fontId="12" fillId="2" borderId="5" xfId="0" applyFont="1" applyFill="1" applyBorder="1" applyAlignment="1">
      <alignment horizontal="left" vertical="center"/>
    </xf>
    <xf numFmtId="0" fontId="6" fillId="3" borderId="0" xfId="3" applyFill="1"/>
    <xf numFmtId="0" fontId="6" fillId="6" borderId="0" xfId="3" applyFill="1"/>
    <xf numFmtId="0" fontId="6" fillId="0" borderId="0" xfId="3"/>
    <xf numFmtId="0" fontId="13" fillId="6" borderId="0" xfId="0" applyFont="1" applyFill="1"/>
    <xf numFmtId="0" fontId="20" fillId="6" borderId="0" xfId="3" applyFont="1" applyFill="1"/>
    <xf numFmtId="0" fontId="20" fillId="6" borderId="0" xfId="0" applyFont="1" applyFill="1"/>
    <xf numFmtId="0" fontId="20" fillId="3" borderId="0" xfId="0" applyFont="1" applyFill="1"/>
    <xf numFmtId="0" fontId="20" fillId="0" borderId="0" xfId="0" applyFont="1"/>
    <xf numFmtId="0" fontId="20" fillId="5" borderId="0" xfId="0" applyFont="1" applyFill="1"/>
    <xf numFmtId="0" fontId="23" fillId="5" borderId="0" xfId="0" applyFont="1" applyFill="1" applyAlignment="1">
      <alignment horizontal="left" vertical="top" wrapText="1"/>
    </xf>
    <xf numFmtId="0" fontId="26" fillId="3" borderId="0" xfId="0" applyFont="1" applyFill="1" applyAlignment="1">
      <alignment horizontal="left" vertical="center" wrapText="1"/>
    </xf>
    <xf numFmtId="0" fontId="20" fillId="3" borderId="0" xfId="0" applyFont="1" applyFill="1" applyAlignment="1">
      <alignment vertical="top"/>
    </xf>
    <xf numFmtId="0" fontId="30" fillId="5" borderId="0" xfId="0" applyFont="1" applyFill="1" applyAlignment="1">
      <alignment horizontal="left" vertical="top" wrapText="1"/>
    </xf>
    <xf numFmtId="0" fontId="30" fillId="5" borderId="0" xfId="0" applyFont="1" applyFill="1" applyAlignment="1">
      <alignment vertical="top" wrapText="1"/>
    </xf>
    <xf numFmtId="0" fontId="32" fillId="5" borderId="0" xfId="0" applyFont="1" applyFill="1"/>
    <xf numFmtId="0" fontId="32" fillId="5" borderId="0" xfId="0" applyFont="1" applyFill="1" applyAlignment="1">
      <alignment horizontal="right"/>
    </xf>
    <xf numFmtId="0" fontId="32" fillId="5" borderId="0" xfId="0" applyFont="1" applyFill="1" applyAlignment="1">
      <alignment horizontal="left" vertical="top" wrapText="1"/>
    </xf>
    <xf numFmtId="0" fontId="27" fillId="5" borderId="0" xfId="0" applyFont="1" applyFill="1" applyAlignment="1">
      <alignment horizontal="left" vertical="top"/>
    </xf>
    <xf numFmtId="0" fontId="28" fillId="5" borderId="0" xfId="0" applyFont="1" applyFill="1" applyAlignment="1">
      <alignment horizontal="left" vertical="top"/>
    </xf>
    <xf numFmtId="0" fontId="32" fillId="5" borderId="0" xfId="0" applyFont="1" applyFill="1" applyAlignment="1">
      <alignment horizontal="right" wrapText="1"/>
    </xf>
    <xf numFmtId="0" fontId="32" fillId="5" borderId="0" xfId="0" applyFont="1" applyFill="1" applyAlignment="1">
      <alignment vertical="top" wrapText="1"/>
    </xf>
    <xf numFmtId="0" fontId="12" fillId="2" borderId="0" xfId="0" applyFont="1" applyFill="1" applyAlignment="1">
      <alignment horizontal="left" vertical="center"/>
    </xf>
    <xf numFmtId="0" fontId="20" fillId="5" borderId="0" xfId="0" applyFont="1" applyFill="1" applyAlignment="1">
      <alignment horizontal="left" vertical="top"/>
    </xf>
    <xf numFmtId="0" fontId="20" fillId="3" borderId="0" xfId="0" applyFont="1" applyFill="1" applyAlignment="1">
      <alignment horizontal="left" vertical="top"/>
    </xf>
    <xf numFmtId="0" fontId="21" fillId="5" borderId="0" xfId="0" applyFont="1" applyFill="1" applyAlignment="1">
      <alignment horizontal="left"/>
    </xf>
    <xf numFmtId="0" fontId="21" fillId="3" borderId="0" xfId="0" applyFont="1" applyFill="1" applyAlignment="1">
      <alignment horizontal="left"/>
    </xf>
    <xf numFmtId="0" fontId="22" fillId="5" borderId="0" xfId="0" applyFont="1" applyFill="1" applyAlignment="1">
      <alignment horizontal="left" vertical="top" wrapText="1"/>
    </xf>
    <xf numFmtId="0" fontId="22" fillId="3" borderId="0" xfId="0" applyFont="1" applyFill="1" applyAlignment="1">
      <alignment horizontal="left" vertical="top" wrapText="1"/>
    </xf>
    <xf numFmtId="0" fontId="24" fillId="5" borderId="0" xfId="0" applyFont="1" applyFill="1" applyAlignment="1">
      <alignment horizontal="center"/>
    </xf>
    <xf numFmtId="0" fontId="20" fillId="5" borderId="0" xfId="0" applyFont="1" applyFill="1" applyAlignment="1">
      <alignment horizontal="right" vertical="center" textRotation="90"/>
    </xf>
    <xf numFmtId="0" fontId="32" fillId="5" borderId="0" xfId="0" applyFont="1" applyFill="1" applyAlignment="1">
      <alignment horizontal="center"/>
    </xf>
    <xf numFmtId="0" fontId="22" fillId="5" borderId="6" xfId="0" applyFont="1" applyFill="1" applyBorder="1" applyAlignment="1">
      <alignment horizontal="left" vertical="top" wrapText="1"/>
    </xf>
    <xf numFmtId="0" fontId="24" fillId="5" borderId="6" xfId="0" applyFont="1" applyFill="1" applyBorder="1" applyAlignment="1">
      <alignment horizontal="center"/>
    </xf>
    <xf numFmtId="0" fontId="23" fillId="5" borderId="0" xfId="0" applyFont="1" applyFill="1" applyAlignment="1">
      <alignment vertical="top" wrapText="1"/>
    </xf>
    <xf numFmtId="0" fontId="23" fillId="5" borderId="0" xfId="0" applyFont="1" applyFill="1" applyAlignment="1">
      <alignment vertical="top"/>
    </xf>
    <xf numFmtId="0" fontId="36" fillId="3" borderId="0" xfId="0" applyFont="1" applyFill="1" applyAlignment="1">
      <alignment horizontal="left" wrapText="1"/>
    </xf>
    <xf numFmtId="0" fontId="20" fillId="9" borderId="0" xfId="0" applyFont="1" applyFill="1"/>
    <xf numFmtId="0" fontId="25" fillId="9" borderId="0" xfId="0" applyFont="1" applyFill="1"/>
    <xf numFmtId="0" fontId="38" fillId="9" borderId="0" xfId="0" applyFont="1" applyFill="1" applyAlignment="1">
      <alignment horizontal="left" vertical="top" wrapText="1"/>
    </xf>
    <xf numFmtId="0" fontId="40" fillId="0" borderId="0" xfId="0" applyFont="1"/>
    <xf numFmtId="0" fontId="0" fillId="0" borderId="6" xfId="0" applyBorder="1"/>
    <xf numFmtId="166" fontId="0" fillId="0" borderId="0" xfId="2" applyNumberFormat="1" applyFont="1"/>
    <xf numFmtId="165" fontId="8" fillId="10" borderId="0" xfId="2" applyNumberFormat="1" applyFont="1" applyFill="1"/>
    <xf numFmtId="0" fontId="0" fillId="10" borderId="0" xfId="0" applyFill="1"/>
    <xf numFmtId="0" fontId="42" fillId="11" borderId="0" xfId="0" applyFont="1" applyFill="1" applyAlignment="1">
      <alignment horizontal="left"/>
    </xf>
    <xf numFmtId="0" fontId="0" fillId="11" borderId="0" xfId="0" applyFill="1" applyAlignment="1">
      <alignment horizontal="center"/>
    </xf>
    <xf numFmtId="165" fontId="0" fillId="11" borderId="0" xfId="2" applyNumberFormat="1" applyFont="1" applyFill="1"/>
    <xf numFmtId="0" fontId="8" fillId="11" borderId="0" xfId="0" applyFont="1" applyFill="1"/>
    <xf numFmtId="0" fontId="0" fillId="11" borderId="0" xfId="0" applyFill="1"/>
    <xf numFmtId="165" fontId="0" fillId="0" borderId="0" xfId="2" applyNumberFormat="1" applyFont="1" applyFill="1"/>
    <xf numFmtId="165" fontId="39" fillId="0" borderId="0" xfId="2" applyNumberFormat="1" applyFont="1" applyFill="1" applyBorder="1"/>
    <xf numFmtId="165" fontId="0" fillId="5" borderId="1" xfId="2" applyNumberFormat="1" applyFont="1" applyFill="1" applyBorder="1"/>
    <xf numFmtId="165" fontId="0" fillId="0" borderId="0" xfId="2" applyNumberFormat="1" applyFont="1" applyAlignment="1">
      <alignment horizontal="right"/>
    </xf>
    <xf numFmtId="0" fontId="0" fillId="10" borderId="0" xfId="0" applyFill="1" applyAlignment="1">
      <alignment horizontal="center"/>
    </xf>
    <xf numFmtId="165" fontId="0" fillId="10" borderId="0" xfId="2" applyNumberFormat="1" applyFont="1" applyFill="1"/>
    <xf numFmtId="165" fontId="0" fillId="4" borderId="1" xfId="2" applyNumberFormat="1" applyFont="1" applyFill="1" applyBorder="1"/>
    <xf numFmtId="166" fontId="0" fillId="4" borderId="1" xfId="2" applyNumberFormat="1" applyFont="1" applyFill="1" applyBorder="1"/>
    <xf numFmtId="166" fontId="0" fillId="5" borderId="1" xfId="2" applyNumberFormat="1" applyFont="1" applyFill="1" applyBorder="1"/>
    <xf numFmtId="165" fontId="7" fillId="0" borderId="0" xfId="2" applyNumberFormat="1" applyFont="1"/>
    <xf numFmtId="9" fontId="22" fillId="5" borderId="0" xfId="5" applyFont="1" applyFill="1" applyBorder="1" applyAlignment="1">
      <alignment horizontal="left" vertical="top" wrapText="1"/>
    </xf>
    <xf numFmtId="9" fontId="20" fillId="5" borderId="0" xfId="5" applyFont="1" applyFill="1" applyBorder="1"/>
    <xf numFmtId="168" fontId="0" fillId="0" borderId="0" xfId="0" applyNumberFormat="1"/>
    <xf numFmtId="169" fontId="0" fillId="4" borderId="1" xfId="4" applyNumberFormat="1" applyFont="1" applyFill="1" applyBorder="1"/>
    <xf numFmtId="169" fontId="0" fillId="5" borderId="1" xfId="4" applyNumberFormat="1" applyFont="1" applyFill="1" applyBorder="1"/>
    <xf numFmtId="0" fontId="0" fillId="0" borderId="0" xfId="0" applyAlignment="1">
      <alignment horizontal="left"/>
    </xf>
    <xf numFmtId="165" fontId="9" fillId="0" borderId="0" xfId="2" applyNumberFormat="1" applyFont="1"/>
    <xf numFmtId="170" fontId="0" fillId="0" borderId="0" xfId="0" applyNumberFormat="1" applyAlignment="1">
      <alignment horizontal="center"/>
    </xf>
    <xf numFmtId="0" fontId="9" fillId="0" borderId="2" xfId="0" applyFont="1" applyBorder="1" applyAlignment="1">
      <alignment horizontal="left"/>
    </xf>
    <xf numFmtId="0" fontId="0" fillId="0" borderId="4" xfId="0" applyBorder="1" applyAlignment="1">
      <alignment horizontal="left"/>
    </xf>
    <xf numFmtId="0" fontId="0" fillId="0" borderId="22" xfId="0" applyBorder="1" applyAlignment="1">
      <alignment horizontal="left"/>
    </xf>
    <xf numFmtId="0" fontId="20" fillId="9" borderId="0" xfId="0" applyFont="1" applyFill="1" applyAlignment="1">
      <alignment horizontal="left"/>
    </xf>
    <xf numFmtId="0" fontId="25" fillId="9" borderId="0" xfId="0" applyFont="1" applyFill="1" applyAlignment="1">
      <alignment horizontal="left"/>
    </xf>
    <xf numFmtId="9" fontId="43" fillId="0" borderId="0" xfId="5" applyFont="1" applyFill="1"/>
    <xf numFmtId="9" fontId="0" fillId="0" borderId="0" xfId="5" applyFont="1" applyFill="1"/>
    <xf numFmtId="0" fontId="38" fillId="0" borderId="0" xfId="0" applyFont="1" applyAlignment="1">
      <alignment vertical="top" wrapText="1"/>
    </xf>
    <xf numFmtId="0" fontId="38" fillId="0" borderId="0" xfId="0" applyFont="1" applyAlignment="1">
      <alignment vertical="top"/>
    </xf>
    <xf numFmtId="0" fontId="47" fillId="0" borderId="0" xfId="0" applyFont="1"/>
    <xf numFmtId="0" fontId="11" fillId="10" borderId="1" xfId="0" applyFont="1" applyFill="1" applyBorder="1" applyAlignment="1">
      <alignment horizontal="right"/>
    </xf>
    <xf numFmtId="0" fontId="12" fillId="2" borderId="23" xfId="0" applyFont="1" applyFill="1" applyBorder="1" applyAlignment="1">
      <alignment horizontal="left" vertical="center"/>
    </xf>
    <xf numFmtId="0" fontId="0" fillId="0" borderId="24" xfId="0" applyBorder="1"/>
    <xf numFmtId="0" fontId="5" fillId="0" borderId="0" xfId="6"/>
    <xf numFmtId="0" fontId="46" fillId="0" borderId="0" xfId="6" applyFont="1"/>
    <xf numFmtId="0" fontId="5" fillId="0" borderId="0" xfId="6" applyAlignment="1">
      <alignment wrapText="1"/>
    </xf>
    <xf numFmtId="169" fontId="5" fillId="0" borderId="0" xfId="4" applyNumberFormat="1" applyFont="1" applyAlignment="1">
      <alignment wrapText="1"/>
    </xf>
    <xf numFmtId="0" fontId="12" fillId="2" borderId="1" xfId="6" applyFont="1" applyFill="1" applyBorder="1" applyAlignment="1">
      <alignment vertical="center"/>
    </xf>
    <xf numFmtId="0" fontId="12" fillId="2" borderId="0" xfId="6" applyFont="1" applyFill="1" applyAlignment="1">
      <alignment vertical="center" wrapText="1"/>
    </xf>
    <xf numFmtId="169" fontId="12" fillId="2" borderId="0" xfId="4" applyNumberFormat="1" applyFont="1" applyFill="1" applyAlignment="1">
      <alignment vertical="center" wrapText="1"/>
    </xf>
    <xf numFmtId="49" fontId="48" fillId="10" borderId="1" xfId="6" applyNumberFormat="1" applyFont="1" applyFill="1" applyBorder="1" applyAlignment="1">
      <alignment vertical="center" wrapText="1"/>
    </xf>
    <xf numFmtId="49" fontId="48" fillId="10" borderId="1" xfId="6" applyNumberFormat="1" applyFont="1" applyFill="1" applyBorder="1" applyAlignment="1">
      <alignment vertical="center"/>
    </xf>
    <xf numFmtId="0" fontId="5" fillId="10" borderId="0" xfId="6" applyFill="1"/>
    <xf numFmtId="49" fontId="5" fillId="0" borderId="1" xfId="6" applyNumberFormat="1" applyBorder="1" applyAlignment="1">
      <alignment vertical="center" wrapText="1"/>
    </xf>
    <xf numFmtId="49" fontId="5" fillId="12" borderId="1" xfId="6" applyNumberFormat="1" applyFill="1" applyBorder="1" applyAlignment="1">
      <alignment vertical="center" wrapText="1"/>
    </xf>
    <xf numFmtId="49" fontId="5" fillId="12" borderId="1" xfId="6" applyNumberFormat="1" applyFill="1" applyBorder="1" applyAlignment="1">
      <alignment vertical="center"/>
    </xf>
    <xf numFmtId="9" fontId="5" fillId="0" borderId="1" xfId="6" applyNumberFormat="1" applyBorder="1" applyAlignment="1">
      <alignment vertical="center"/>
    </xf>
    <xf numFmtId="9" fontId="5" fillId="7" borderId="1" xfId="6" applyNumberFormat="1" applyFill="1" applyBorder="1" applyAlignment="1">
      <alignment vertical="center"/>
    </xf>
    <xf numFmtId="9" fontId="5" fillId="3" borderId="1" xfId="6" applyNumberFormat="1" applyFill="1" applyBorder="1" applyAlignment="1">
      <alignment vertical="center"/>
    </xf>
    <xf numFmtId="44" fontId="0" fillId="0" borderId="0" xfId="4" applyFont="1" applyFill="1" applyBorder="1"/>
    <xf numFmtId="44" fontId="7" fillId="0" borderId="0" xfId="4" applyFont="1" applyFill="1" applyBorder="1"/>
    <xf numFmtId="1" fontId="0" fillId="0" borderId="0" xfId="0" applyNumberFormat="1"/>
    <xf numFmtId="0" fontId="0" fillId="2" borderId="0" xfId="0" applyFill="1"/>
    <xf numFmtId="9" fontId="0" fillId="0" borderId="0" xfId="5" applyFont="1"/>
    <xf numFmtId="0" fontId="8" fillId="0" borderId="0" xfId="0" quotePrefix="1" applyFont="1"/>
    <xf numFmtId="167" fontId="0" fillId="0" borderId="0" xfId="0" applyNumberFormat="1"/>
    <xf numFmtId="0" fontId="7" fillId="0" borderId="1" xfId="0" applyFont="1" applyBorder="1"/>
    <xf numFmtId="0" fontId="4" fillId="0" borderId="0" xfId="6" applyFont="1"/>
    <xf numFmtId="0" fontId="4" fillId="0" borderId="0" xfId="6" applyFont="1" applyAlignment="1">
      <alignment horizontal="left"/>
    </xf>
    <xf numFmtId="0" fontId="4" fillId="0" borderId="0" xfId="6" applyFont="1" applyAlignment="1">
      <alignment wrapText="1"/>
    </xf>
    <xf numFmtId="165" fontId="5" fillId="0" borderId="1" xfId="2" applyNumberFormat="1" applyFont="1" applyBorder="1" applyAlignment="1">
      <alignment vertical="center"/>
    </xf>
    <xf numFmtId="49" fontId="4" fillId="12" borderId="1" xfId="6" applyNumberFormat="1" applyFont="1" applyFill="1" applyBorder="1" applyAlignment="1">
      <alignment vertical="center" wrapText="1"/>
    </xf>
    <xf numFmtId="9" fontId="4" fillId="0" borderId="1" xfId="6" applyNumberFormat="1" applyFont="1" applyBorder="1" applyAlignment="1">
      <alignment vertical="center"/>
    </xf>
    <xf numFmtId="9" fontId="5" fillId="0" borderId="1" xfId="5" applyFont="1" applyBorder="1" applyAlignment="1">
      <alignment vertical="center"/>
    </xf>
    <xf numFmtId="0" fontId="32" fillId="5" borderId="0" xfId="0" applyFont="1" applyFill="1" applyAlignment="1">
      <alignment wrapText="1"/>
    </xf>
    <xf numFmtId="8" fontId="0" fillId="0" borderId="0" xfId="0" applyNumberFormat="1"/>
    <xf numFmtId="9" fontId="0" fillId="0" borderId="0" xfId="5" applyFont="1" applyAlignment="1">
      <alignment horizontal="center"/>
    </xf>
    <xf numFmtId="9" fontId="0" fillId="0" borderId="3" xfId="5" applyFont="1" applyBorder="1" applyAlignment="1">
      <alignment horizontal="center"/>
    </xf>
    <xf numFmtId="0" fontId="8" fillId="0" borderId="3" xfId="0" applyFont="1" applyBorder="1"/>
    <xf numFmtId="0" fontId="0" fillId="0" borderId="3" xfId="0" applyBorder="1"/>
    <xf numFmtId="165" fontId="0" fillId="0" borderId="3" xfId="0" applyNumberFormat="1" applyBorder="1"/>
    <xf numFmtId="0" fontId="38" fillId="9" borderId="0" xfId="0" applyFont="1" applyFill="1" applyAlignment="1">
      <alignment vertical="top" wrapText="1"/>
    </xf>
    <xf numFmtId="169" fontId="8" fillId="0" borderId="0" xfId="0" applyNumberFormat="1" applyFont="1"/>
    <xf numFmtId="0" fontId="32" fillId="5" borderId="0" xfId="0" applyFont="1" applyFill="1" applyAlignment="1">
      <alignment vertical="center"/>
    </xf>
    <xf numFmtId="44" fontId="32" fillId="5" borderId="0" xfId="0" applyNumberFormat="1" applyFont="1" applyFill="1" applyAlignment="1">
      <alignment horizontal="left" vertical="center"/>
    </xf>
    <xf numFmtId="44" fontId="32" fillId="5" borderId="0" xfId="0" applyNumberFormat="1" applyFont="1" applyFill="1" applyAlignment="1">
      <alignment vertical="center"/>
    </xf>
    <xf numFmtId="0" fontId="27" fillId="5" borderId="0" xfId="0" applyFont="1" applyFill="1" applyAlignment="1">
      <alignment vertical="top"/>
    </xf>
    <xf numFmtId="9" fontId="54" fillId="9" borderId="0" xfId="0" applyNumberFormat="1" applyFont="1" applyFill="1" applyAlignment="1">
      <alignment horizontal="center" vertical="top" wrapText="1"/>
    </xf>
    <xf numFmtId="9" fontId="55" fillId="9" borderId="0" xfId="0" applyNumberFormat="1" applyFont="1" applyFill="1" applyAlignment="1">
      <alignment vertical="top" wrapText="1"/>
    </xf>
    <xf numFmtId="0" fontId="24" fillId="9" borderId="0" xfId="0" applyFont="1" applyFill="1"/>
    <xf numFmtId="43" fontId="0" fillId="0" borderId="0" xfId="2" applyFont="1" applyFill="1"/>
    <xf numFmtId="0" fontId="23" fillId="5" borderId="0" xfId="0" applyFont="1" applyFill="1"/>
    <xf numFmtId="0" fontId="36" fillId="9" borderId="0" xfId="0" applyFont="1" applyFill="1" applyAlignment="1">
      <alignment horizontal="left" wrapText="1"/>
    </xf>
    <xf numFmtId="0" fontId="20" fillId="13" borderId="0" xfId="0" applyFont="1" applyFill="1"/>
    <xf numFmtId="0" fontId="20" fillId="13" borderId="0" xfId="0" applyFont="1" applyFill="1" applyAlignment="1">
      <alignment horizontal="left"/>
    </xf>
    <xf numFmtId="0" fontId="38" fillId="13" borderId="0" xfId="0" applyFont="1" applyFill="1" applyAlignment="1">
      <alignment horizontal="left" vertical="top" wrapText="1"/>
    </xf>
    <xf numFmtId="9" fontId="56" fillId="13" borderId="0" xfId="0" applyNumberFormat="1" applyFont="1" applyFill="1" applyAlignment="1">
      <alignment horizontal="left" vertical="top" wrapText="1"/>
    </xf>
    <xf numFmtId="0" fontId="29" fillId="3" borderId="0" xfId="0" applyFont="1" applyFill="1" applyAlignment="1">
      <alignment vertical="center" wrapText="1"/>
    </xf>
    <xf numFmtId="0" fontId="29" fillId="3" borderId="0" xfId="0" applyFont="1" applyFill="1" applyAlignment="1">
      <alignment horizontal="center" vertical="center" wrapText="1"/>
    </xf>
    <xf numFmtId="165" fontId="50" fillId="0" borderId="0" xfId="0" applyNumberFormat="1" applyFont="1" applyAlignment="1">
      <alignment vertical="center"/>
    </xf>
    <xf numFmtId="165" fontId="0" fillId="0" borderId="0" xfId="0" applyNumberFormat="1"/>
    <xf numFmtId="9" fontId="5" fillId="0" borderId="0" xfId="5" applyFont="1" applyAlignment="1">
      <alignment wrapText="1"/>
    </xf>
    <xf numFmtId="9" fontId="4" fillId="0" borderId="0" xfId="5" applyFont="1" applyAlignment="1">
      <alignment wrapText="1"/>
    </xf>
    <xf numFmtId="49" fontId="3" fillId="12" borderId="1" xfId="6" applyNumberFormat="1" applyFont="1" applyFill="1" applyBorder="1" applyAlignment="1">
      <alignment vertical="center" wrapText="1"/>
    </xf>
    <xf numFmtId="0" fontId="32" fillId="5" borderId="0" xfId="0" applyFont="1" applyFill="1" applyAlignment="1">
      <alignment horizontal="center" wrapText="1"/>
    </xf>
    <xf numFmtId="9" fontId="32" fillId="5" borderId="0" xfId="0" applyNumberFormat="1" applyFont="1" applyFill="1" applyAlignment="1">
      <alignment horizontal="left"/>
    </xf>
    <xf numFmtId="0" fontId="32" fillId="5" borderId="0" xfId="0" applyFont="1" applyFill="1" applyAlignment="1">
      <alignment horizontal="left"/>
    </xf>
    <xf numFmtId="0" fontId="61" fillId="5" borderId="0" xfId="0" applyFont="1" applyFill="1" applyAlignment="1">
      <alignment horizontal="center"/>
    </xf>
    <xf numFmtId="165" fontId="0" fillId="0" borderId="0" xfId="2" applyNumberFormat="1" applyFont="1" applyFill="1" applyBorder="1"/>
    <xf numFmtId="0" fontId="9" fillId="0" borderId="0" xfId="0" applyFont="1"/>
    <xf numFmtId="0" fontId="62" fillId="0" borderId="0" xfId="1" applyFont="1"/>
    <xf numFmtId="0" fontId="0" fillId="0" borderId="0" xfId="0" applyAlignment="1">
      <alignment wrapText="1"/>
    </xf>
    <xf numFmtId="0" fontId="12" fillId="2" borderId="0" xfId="0" applyFont="1" applyFill="1" applyAlignment="1">
      <alignment wrapText="1"/>
    </xf>
    <xf numFmtId="0" fontId="11" fillId="10" borderId="0" xfId="0" applyFont="1" applyFill="1" applyAlignment="1">
      <alignment horizontal="right" wrapText="1"/>
    </xf>
    <xf numFmtId="1" fontId="0" fillId="0" borderId="1" xfId="0" applyNumberFormat="1" applyBorder="1" applyAlignment="1">
      <alignment wrapText="1"/>
    </xf>
    <xf numFmtId="49" fontId="2" fillId="12" borderId="1" xfId="6" applyNumberFormat="1" applyFont="1" applyFill="1" applyBorder="1" applyAlignment="1">
      <alignment vertical="center" wrapText="1"/>
    </xf>
    <xf numFmtId="0" fontId="35" fillId="5" borderId="0" xfId="0" applyFont="1" applyFill="1" applyAlignment="1">
      <alignment vertical="top"/>
    </xf>
    <xf numFmtId="0" fontId="32" fillId="5" borderId="0" xfId="0" applyFont="1" applyFill="1" applyAlignment="1">
      <alignment horizontal="left" vertical="top"/>
    </xf>
    <xf numFmtId="0" fontId="61" fillId="5" borderId="0" xfId="0" applyFont="1" applyFill="1" applyAlignment="1">
      <alignment vertical="top"/>
    </xf>
    <xf numFmtId="168" fontId="0" fillId="0" borderId="0" xfId="2" applyNumberFormat="1" applyFont="1" applyAlignment="1">
      <alignment horizontal="center"/>
    </xf>
    <xf numFmtId="9" fontId="5" fillId="0" borderId="0" xfId="5" applyFont="1" applyFill="1" applyAlignment="1">
      <alignment wrapText="1"/>
    </xf>
    <xf numFmtId="9" fontId="4" fillId="0" borderId="0" xfId="5" applyFont="1" applyFill="1" applyAlignment="1">
      <alignment wrapText="1"/>
    </xf>
    <xf numFmtId="9" fontId="5" fillId="0" borderId="1" xfId="5" applyFont="1" applyFill="1" applyBorder="1" applyAlignment="1">
      <alignment vertical="center"/>
    </xf>
    <xf numFmtId="9" fontId="3" fillId="0" borderId="1" xfId="5" applyFont="1" applyFill="1" applyBorder="1" applyAlignment="1">
      <alignment vertical="center"/>
    </xf>
    <xf numFmtId="0" fontId="63" fillId="0" borderId="0" xfId="6" applyFont="1" applyAlignment="1">
      <alignment wrapText="1"/>
    </xf>
    <xf numFmtId="165" fontId="5" fillId="0" borderId="1" xfId="2" applyNumberFormat="1" applyFont="1" applyFill="1" applyBorder="1" applyAlignment="1">
      <alignment vertical="center"/>
    </xf>
    <xf numFmtId="0" fontId="5" fillId="0" borderId="0" xfId="6" applyAlignment="1">
      <alignment vertical="center"/>
    </xf>
    <xf numFmtId="1" fontId="0" fillId="0" borderId="1" xfId="0" applyNumberFormat="1" applyBorder="1" applyAlignment="1">
      <alignment vertical="center"/>
    </xf>
    <xf numFmtId="9" fontId="0" fillId="0" borderId="1" xfId="5" applyFont="1" applyFill="1" applyBorder="1" applyAlignment="1">
      <alignment vertical="center"/>
    </xf>
    <xf numFmtId="169" fontId="5" fillId="0" borderId="1" xfId="4" applyNumberFormat="1" applyFont="1" applyFill="1" applyBorder="1" applyAlignment="1">
      <alignment vertical="center" wrapText="1"/>
    </xf>
    <xf numFmtId="0" fontId="4" fillId="0" borderId="0" xfId="6" applyFont="1" applyAlignment="1">
      <alignment vertical="center"/>
    </xf>
    <xf numFmtId="169" fontId="5" fillId="0" borderId="28" xfId="4" applyNumberFormat="1" applyFont="1" applyFill="1" applyBorder="1" applyAlignment="1">
      <alignment vertical="center" wrapText="1"/>
    </xf>
    <xf numFmtId="49" fontId="5" fillId="14" borderId="1" xfId="6" applyNumberFormat="1" applyFill="1" applyBorder="1" applyAlignment="1">
      <alignment vertical="center" wrapText="1"/>
    </xf>
    <xf numFmtId="49" fontId="5" fillId="14" borderId="1" xfId="6" applyNumberFormat="1" applyFill="1" applyBorder="1" applyAlignment="1">
      <alignment vertical="center"/>
    </xf>
    <xf numFmtId="49" fontId="3" fillId="14" borderId="1" xfId="6" applyNumberFormat="1" applyFont="1" applyFill="1" applyBorder="1" applyAlignment="1">
      <alignment vertical="center" wrapText="1"/>
    </xf>
    <xf numFmtId="49" fontId="4" fillId="14" borderId="1" xfId="6" applyNumberFormat="1" applyFont="1" applyFill="1" applyBorder="1" applyAlignment="1">
      <alignment vertical="center" wrapText="1"/>
    </xf>
    <xf numFmtId="49" fontId="2" fillId="14" borderId="1" xfId="6" applyNumberFormat="1" applyFont="1" applyFill="1" applyBorder="1" applyAlignment="1">
      <alignment vertical="center" wrapText="1"/>
    </xf>
    <xf numFmtId="43" fontId="0" fillId="4" borderId="1" xfId="2" applyFont="1" applyFill="1" applyBorder="1"/>
    <xf numFmtId="9" fontId="2" fillId="0" borderId="1" xfId="12" applyNumberFormat="1" applyBorder="1" applyAlignment="1">
      <alignment horizontal="left" vertical="center"/>
    </xf>
    <xf numFmtId="2" fontId="49" fillId="5" borderId="16" xfId="0" applyNumberFormat="1" applyFont="1" applyFill="1" applyBorder="1" applyAlignment="1">
      <alignment horizontal="center" vertical="center" wrapText="1" readingOrder="1"/>
    </xf>
    <xf numFmtId="2" fontId="49" fillId="5" borderId="17" xfId="0" applyNumberFormat="1" applyFont="1" applyFill="1" applyBorder="1" applyAlignment="1">
      <alignment horizontal="center" vertical="center" wrapText="1" readingOrder="1"/>
    </xf>
    <xf numFmtId="2" fontId="49" fillId="5" borderId="18" xfId="0" applyNumberFormat="1" applyFont="1" applyFill="1" applyBorder="1" applyAlignment="1">
      <alignment horizontal="center" vertical="center" wrapText="1" readingOrder="1"/>
    </xf>
    <xf numFmtId="0" fontId="52" fillId="5" borderId="20" xfId="0" applyFont="1" applyFill="1" applyBorder="1" applyAlignment="1" applyProtection="1">
      <alignment horizontal="center" vertical="center"/>
      <protection locked="0"/>
    </xf>
    <xf numFmtId="0" fontId="52" fillId="5" borderId="21" xfId="0" applyFont="1" applyFill="1" applyBorder="1" applyAlignment="1" applyProtection="1">
      <alignment horizontal="center" vertical="center"/>
      <protection locked="0"/>
    </xf>
    <xf numFmtId="9" fontId="0" fillId="0" borderId="1" xfId="5" applyFont="1" applyFill="1" applyBorder="1" applyAlignment="1">
      <alignment horizontal="left" vertical="center"/>
    </xf>
    <xf numFmtId="0" fontId="52" fillId="5" borderId="19" xfId="0" applyFont="1" applyFill="1" applyBorder="1" applyAlignment="1" applyProtection="1">
      <alignment horizontal="center" vertical="center"/>
      <protection locked="0"/>
    </xf>
    <xf numFmtId="0" fontId="53" fillId="5" borderId="13" xfId="0" applyFont="1" applyFill="1" applyBorder="1" applyAlignment="1">
      <alignment horizontal="center" vertical="center" wrapText="1" readingOrder="1"/>
    </xf>
    <xf numFmtId="0" fontId="53" fillId="5" borderId="14" xfId="0" applyFont="1" applyFill="1" applyBorder="1" applyAlignment="1">
      <alignment horizontal="center" vertical="center" wrapText="1" readingOrder="1"/>
    </xf>
    <xf numFmtId="0" fontId="53" fillId="5" borderId="15" xfId="0" applyFont="1" applyFill="1" applyBorder="1" applyAlignment="1">
      <alignment horizontal="center" vertical="center" wrapText="1" readingOrder="1"/>
    </xf>
    <xf numFmtId="6" fontId="0" fillId="0" borderId="0" xfId="0" applyNumberFormat="1"/>
    <xf numFmtId="0" fontId="66" fillId="0" borderId="0" xfId="0" applyFont="1"/>
    <xf numFmtId="0" fontId="67" fillId="0" borderId="0" xfId="0" applyFont="1"/>
    <xf numFmtId="165" fontId="9" fillId="5" borderId="1" xfId="2" applyNumberFormat="1" applyFont="1" applyFill="1" applyBorder="1"/>
    <xf numFmtId="43" fontId="9" fillId="5" borderId="1" xfId="2" applyFont="1" applyFill="1" applyBorder="1"/>
    <xf numFmtId="167" fontId="9" fillId="5" borderId="1" xfId="2" applyNumberFormat="1" applyFont="1" applyFill="1" applyBorder="1"/>
    <xf numFmtId="9" fontId="9" fillId="5" borderId="1" xfId="5" applyFont="1" applyFill="1" applyBorder="1"/>
    <xf numFmtId="44" fontId="0" fillId="5" borderId="1" xfId="4" applyFont="1" applyFill="1" applyBorder="1"/>
    <xf numFmtId="0" fontId="0" fillId="5" borderId="34" xfId="0" applyFill="1" applyBorder="1"/>
    <xf numFmtId="0" fontId="10" fillId="5" borderId="33" xfId="0" applyFont="1" applyFill="1" applyBorder="1"/>
    <xf numFmtId="9" fontId="0" fillId="5" borderId="1" xfId="5" applyFont="1" applyFill="1" applyBorder="1"/>
    <xf numFmtId="0" fontId="0" fillId="5" borderId="1" xfId="0" applyFill="1" applyBorder="1" applyAlignment="1">
      <alignment horizontal="center"/>
    </xf>
    <xf numFmtId="165" fontId="0" fillId="5" borderId="35" xfId="2" applyNumberFormat="1" applyFont="1" applyFill="1" applyBorder="1"/>
    <xf numFmtId="165" fontId="9" fillId="5" borderId="35" xfId="2" applyNumberFormat="1" applyFont="1" applyFill="1" applyBorder="1"/>
    <xf numFmtId="170" fontId="0" fillId="5" borderId="1" xfId="0" applyNumberFormat="1" applyFill="1" applyBorder="1" applyAlignment="1">
      <alignment horizontal="center"/>
    </xf>
    <xf numFmtId="0" fontId="38" fillId="5" borderId="1" xfId="0" applyFont="1" applyFill="1" applyBorder="1" applyAlignment="1">
      <alignment vertical="top"/>
    </xf>
    <xf numFmtId="0" fontId="8" fillId="5" borderId="1" xfId="0" applyFont="1" applyFill="1" applyBorder="1"/>
    <xf numFmtId="0" fontId="0" fillId="0" borderId="36" xfId="0" applyBorder="1" applyAlignment="1">
      <alignment horizontal="left"/>
    </xf>
    <xf numFmtId="0" fontId="9" fillId="0" borderId="0" xfId="0" applyFont="1" applyAlignment="1">
      <alignment horizontal="left"/>
    </xf>
    <xf numFmtId="165" fontId="0" fillId="0" borderId="0" xfId="2" applyNumberFormat="1" applyFont="1" applyBorder="1"/>
    <xf numFmtId="9" fontId="0" fillId="0" borderId="0" xfId="5" applyFont="1" applyBorder="1" applyAlignment="1">
      <alignment horizontal="center"/>
    </xf>
    <xf numFmtId="172" fontId="9" fillId="5" borderId="1" xfId="5" applyNumberFormat="1" applyFont="1" applyFill="1" applyBorder="1"/>
    <xf numFmtId="10" fontId="0" fillId="5" borderId="1" xfId="5" applyNumberFormat="1" applyFont="1" applyFill="1" applyBorder="1"/>
    <xf numFmtId="169" fontId="0" fillId="5" borderId="1" xfId="4" applyNumberFormat="1" applyFont="1" applyFill="1" applyBorder="1" applyAlignment="1">
      <alignment horizontal="center"/>
    </xf>
    <xf numFmtId="169" fontId="9" fillId="5" borderId="1" xfId="4" applyNumberFormat="1" applyFont="1" applyFill="1" applyBorder="1"/>
    <xf numFmtId="165" fontId="9" fillId="5" borderId="1" xfId="5" applyNumberFormat="1" applyFont="1" applyFill="1" applyBorder="1"/>
    <xf numFmtId="2" fontId="0" fillId="5" borderId="1" xfId="0" applyNumberFormat="1" applyFill="1" applyBorder="1" applyAlignment="1">
      <alignment horizontal="center"/>
    </xf>
    <xf numFmtId="171" fontId="9" fillId="5" borderId="1" xfId="5" applyNumberFormat="1" applyFont="1" applyFill="1" applyBorder="1"/>
    <xf numFmtId="0" fontId="0" fillId="5" borderId="1" xfId="0" applyFill="1" applyBorder="1"/>
    <xf numFmtId="0" fontId="7" fillId="15" borderId="0" xfId="0" applyFont="1" applyFill="1" applyAlignment="1">
      <alignment horizontal="left"/>
    </xf>
    <xf numFmtId="0" fontId="0" fillId="15" borderId="0" xfId="0" applyFill="1" applyAlignment="1">
      <alignment horizontal="center"/>
    </xf>
    <xf numFmtId="165" fontId="0" fillId="15" borderId="0" xfId="2" applyNumberFormat="1" applyFont="1" applyFill="1" applyAlignment="1">
      <alignment horizontal="center"/>
    </xf>
    <xf numFmtId="165" fontId="7" fillId="15" borderId="0" xfId="2" applyNumberFormat="1" applyFont="1" applyFill="1" applyAlignment="1">
      <alignment horizontal="center"/>
    </xf>
    <xf numFmtId="0" fontId="0" fillId="15" borderId="0" xfId="0" applyFill="1"/>
    <xf numFmtId="49" fontId="1" fillId="12" borderId="1" xfId="6" applyNumberFormat="1" applyFont="1" applyFill="1" applyBorder="1" applyAlignment="1">
      <alignment vertical="center" wrapText="1"/>
    </xf>
    <xf numFmtId="49" fontId="1" fillId="14" borderId="1" xfId="6" applyNumberFormat="1" applyFont="1" applyFill="1" applyBorder="1" applyAlignment="1">
      <alignment vertical="center" wrapText="1"/>
    </xf>
    <xf numFmtId="0" fontId="17" fillId="3" borderId="0" xfId="3" applyFont="1" applyFill="1" applyAlignment="1">
      <alignment horizontal="center"/>
    </xf>
    <xf numFmtId="0" fontId="18" fillId="3" borderId="0" xfId="3" applyFont="1" applyFill="1" applyAlignment="1">
      <alignment horizontal="center" vertical="top" wrapText="1"/>
    </xf>
    <xf numFmtId="0" fontId="18" fillId="3" borderId="0" xfId="3" applyFont="1" applyFill="1" applyAlignment="1">
      <alignment horizontal="center" vertical="top"/>
    </xf>
    <xf numFmtId="0" fontId="19" fillId="3" borderId="0" xfId="1" applyFont="1" applyFill="1" applyAlignment="1">
      <alignment horizontal="center"/>
    </xf>
    <xf numFmtId="0" fontId="19" fillId="3" borderId="0" xfId="3" applyFont="1" applyFill="1" applyAlignment="1">
      <alignment horizontal="center"/>
    </xf>
    <xf numFmtId="0" fontId="23" fillId="5" borderId="0" xfId="0" applyFont="1" applyFill="1" applyAlignment="1">
      <alignment wrapText="1"/>
    </xf>
    <xf numFmtId="0" fontId="32" fillId="5" borderId="0" xfId="0" applyFont="1" applyFill="1" applyAlignment="1">
      <alignment horizontal="left" vertical="top" wrapText="1"/>
    </xf>
    <xf numFmtId="0" fontId="60" fillId="5" borderId="0" xfId="0" applyFont="1" applyFill="1" applyAlignment="1">
      <alignment horizontal="left" vertical="top" wrapText="1"/>
    </xf>
    <xf numFmtId="0" fontId="32" fillId="5" borderId="0" xfId="0" applyFont="1" applyFill="1" applyAlignment="1">
      <alignment horizontal="left" wrapText="1"/>
    </xf>
    <xf numFmtId="1" fontId="32" fillId="0" borderId="10" xfId="2" applyNumberFormat="1" applyFont="1" applyFill="1" applyBorder="1" applyAlignment="1" applyProtection="1">
      <alignment horizontal="center"/>
      <protection locked="0"/>
    </xf>
    <xf numFmtId="1" fontId="32" fillId="0" borderId="8" xfId="2" applyNumberFormat="1" applyFont="1" applyFill="1" applyBorder="1" applyAlignment="1" applyProtection="1">
      <alignment horizontal="center"/>
      <protection locked="0"/>
    </xf>
    <xf numFmtId="1" fontId="32" fillId="0" borderId="9" xfId="2" applyNumberFormat="1" applyFont="1" applyFill="1" applyBorder="1" applyAlignment="1" applyProtection="1">
      <alignment horizontal="center"/>
      <protection locked="0"/>
    </xf>
    <xf numFmtId="9" fontId="32" fillId="3" borderId="10" xfId="5" applyFont="1" applyFill="1" applyBorder="1" applyAlignment="1" applyProtection="1">
      <alignment horizontal="center"/>
      <protection locked="0"/>
    </xf>
    <xf numFmtId="9" fontId="32" fillId="3" borderId="8" xfId="5" applyFont="1" applyFill="1" applyBorder="1" applyAlignment="1" applyProtection="1">
      <alignment horizontal="center"/>
      <protection locked="0"/>
    </xf>
    <xf numFmtId="9" fontId="32" fillId="3" borderId="9" xfId="5" applyFont="1" applyFill="1" applyBorder="1" applyAlignment="1" applyProtection="1">
      <alignment horizontal="center"/>
      <protection locked="0"/>
    </xf>
    <xf numFmtId="0" fontId="32" fillId="5" borderId="0" xfId="0" applyFont="1" applyFill="1" applyAlignment="1">
      <alignment horizontal="right" wrapText="1"/>
    </xf>
    <xf numFmtId="0" fontId="32" fillId="3" borderId="18" xfId="0" applyFont="1" applyFill="1" applyBorder="1" applyAlignment="1" applyProtection="1">
      <alignment horizontal="center"/>
      <protection locked="0"/>
    </xf>
    <xf numFmtId="0" fontId="32" fillId="3" borderId="16" xfId="0" applyFont="1" applyFill="1" applyBorder="1" applyAlignment="1" applyProtection="1">
      <alignment horizontal="center"/>
      <protection locked="0"/>
    </xf>
    <xf numFmtId="165" fontId="32" fillId="3" borderId="10" xfId="2" applyNumberFormat="1" applyFont="1" applyFill="1" applyBorder="1" applyAlignment="1" applyProtection="1">
      <alignment horizontal="center"/>
      <protection locked="0"/>
    </xf>
    <xf numFmtId="165" fontId="32" fillId="3" borderId="9" xfId="2" applyNumberFormat="1" applyFont="1" applyFill="1" applyBorder="1" applyAlignment="1" applyProtection="1">
      <alignment horizontal="center"/>
      <protection locked="0"/>
    </xf>
    <xf numFmtId="165" fontId="32" fillId="5" borderId="0" xfId="2" applyNumberFormat="1" applyFont="1" applyFill="1" applyAlignment="1"/>
    <xf numFmtId="0" fontId="25" fillId="9" borderId="0" xfId="0" applyFont="1" applyFill="1" applyAlignment="1">
      <alignment horizontal="left"/>
    </xf>
    <xf numFmtId="9" fontId="56" fillId="9" borderId="0" xfId="0" applyNumberFormat="1" applyFont="1" applyFill="1" applyAlignment="1">
      <alignment horizontal="left" vertical="top" wrapText="1"/>
    </xf>
    <xf numFmtId="9" fontId="59" fillId="9" borderId="0" xfId="0" applyNumberFormat="1" applyFont="1" applyFill="1" applyAlignment="1">
      <alignment horizontal="left" vertical="top" wrapText="1"/>
    </xf>
    <xf numFmtId="0" fontId="38" fillId="9" borderId="0" xfId="0" applyFont="1" applyFill="1" applyAlignment="1">
      <alignment horizontal="left" vertical="top" wrapText="1"/>
    </xf>
    <xf numFmtId="0" fontId="32" fillId="3" borderId="10" xfId="0" applyFont="1" applyFill="1" applyBorder="1" applyAlignment="1" applyProtection="1">
      <alignment horizontal="left"/>
      <protection locked="0"/>
    </xf>
    <xf numFmtId="0" fontId="32" fillId="3" borderId="8" xfId="0" applyFont="1" applyFill="1" applyBorder="1" applyAlignment="1" applyProtection="1">
      <alignment horizontal="left"/>
      <protection locked="0"/>
    </xf>
    <xf numFmtId="0" fontId="32" fillId="3" borderId="9" xfId="0" applyFont="1" applyFill="1" applyBorder="1" applyAlignment="1" applyProtection="1">
      <alignment horizontal="left"/>
      <protection locked="0"/>
    </xf>
    <xf numFmtId="0" fontId="29" fillId="5" borderId="0" xfId="0" applyFont="1" applyFill="1" applyAlignment="1">
      <alignment horizontal="left"/>
    </xf>
    <xf numFmtId="9" fontId="29" fillId="9" borderId="0" xfId="0" applyNumberFormat="1" applyFont="1" applyFill="1" applyAlignment="1">
      <alignment horizontal="left" vertical="top" wrapText="1"/>
    </xf>
    <xf numFmtId="9" fontId="56" fillId="13" borderId="0" xfId="0" applyNumberFormat="1" applyFont="1" applyFill="1" applyAlignment="1">
      <alignment horizontal="left" vertical="top" wrapText="1"/>
    </xf>
    <xf numFmtId="0" fontId="38" fillId="13" borderId="0" xfId="0" applyFont="1" applyFill="1" applyAlignment="1">
      <alignment horizontal="left" vertical="top" wrapText="1"/>
    </xf>
    <xf numFmtId="0" fontId="57" fillId="9" borderId="0" xfId="0" applyFont="1" applyFill="1" applyAlignment="1">
      <alignment horizontal="left" vertical="center" indent="3"/>
    </xf>
    <xf numFmtId="9" fontId="58" fillId="9" borderId="0" xfId="0" applyNumberFormat="1" applyFont="1" applyFill="1" applyAlignment="1">
      <alignment horizontal="left" vertical="top" wrapText="1"/>
    </xf>
    <xf numFmtId="0" fontId="25" fillId="13" borderId="0" xfId="0" applyFont="1" applyFill="1" applyAlignment="1">
      <alignment horizontal="left"/>
    </xf>
    <xf numFmtId="0" fontId="26" fillId="3" borderId="0" xfId="0" applyFont="1" applyFill="1" applyAlignment="1">
      <alignment horizontal="left" vertical="center" wrapText="1"/>
    </xf>
    <xf numFmtId="0" fontId="28" fillId="5" borderId="0" xfId="0" applyFont="1" applyFill="1" applyAlignment="1">
      <alignment horizontal="left" vertical="top"/>
    </xf>
    <xf numFmtId="169" fontId="32" fillId="3" borderId="7" xfId="4" applyNumberFormat="1" applyFont="1" applyFill="1" applyBorder="1" applyAlignment="1" applyProtection="1">
      <alignment horizontal="center"/>
      <protection locked="0"/>
    </xf>
    <xf numFmtId="169" fontId="32" fillId="3" borderId="8" xfId="4" applyNumberFormat="1" applyFont="1" applyFill="1" applyBorder="1" applyAlignment="1" applyProtection="1">
      <alignment horizontal="center"/>
      <protection locked="0"/>
    </xf>
    <xf numFmtId="169" fontId="32" fillId="3" borderId="9" xfId="4" applyNumberFormat="1" applyFont="1" applyFill="1" applyBorder="1" applyAlignment="1" applyProtection="1">
      <alignment horizontal="center"/>
      <protection locked="0"/>
    </xf>
    <xf numFmtId="0" fontId="32" fillId="3" borderId="10"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44" fontId="32" fillId="5" borderId="0" xfId="0" applyNumberFormat="1" applyFont="1" applyFill="1" applyAlignment="1">
      <alignment horizontal="left"/>
    </xf>
    <xf numFmtId="0" fontId="29" fillId="3" borderId="0" xfId="0" applyFont="1" applyFill="1" applyAlignment="1">
      <alignment horizontal="left" vertical="center" wrapText="1"/>
    </xf>
    <xf numFmtId="0" fontId="30" fillId="5" borderId="0" xfId="0" applyFont="1" applyFill="1" applyAlignment="1">
      <alignment horizontal="left" vertical="top" wrapText="1"/>
    </xf>
    <xf numFmtId="0" fontId="32" fillId="3" borderId="26" xfId="0" applyFont="1" applyFill="1" applyBorder="1" applyAlignment="1" applyProtection="1">
      <alignment horizontal="left" vertical="top" wrapText="1"/>
      <protection locked="0"/>
    </xf>
    <xf numFmtId="0" fontId="32" fillId="3" borderId="25" xfId="0" applyFont="1" applyFill="1" applyBorder="1" applyAlignment="1" applyProtection="1">
      <alignment horizontal="left" vertical="top" wrapText="1"/>
      <protection locked="0"/>
    </xf>
    <xf numFmtId="0" fontId="32" fillId="3" borderId="27" xfId="0" applyFont="1" applyFill="1" applyBorder="1" applyAlignment="1" applyProtection="1">
      <alignment horizontal="left" vertical="top" wrapText="1"/>
      <protection locked="0"/>
    </xf>
    <xf numFmtId="0" fontId="32" fillId="3" borderId="11" xfId="0" applyFont="1" applyFill="1" applyBorder="1" applyAlignment="1" applyProtection="1">
      <alignment horizontal="left" vertical="top" wrapText="1"/>
      <protection locked="0"/>
    </xf>
    <xf numFmtId="0" fontId="32" fillId="3" borderId="6" xfId="0" applyFont="1" applyFill="1" applyBorder="1" applyAlignment="1" applyProtection="1">
      <alignment horizontal="left" vertical="top" wrapText="1"/>
      <protection locked="0"/>
    </xf>
    <xf numFmtId="0" fontId="32" fillId="3" borderId="12" xfId="0" applyFont="1" applyFill="1" applyBorder="1" applyAlignment="1" applyProtection="1">
      <alignment horizontal="left" vertical="top" wrapText="1"/>
      <protection locked="0"/>
    </xf>
    <xf numFmtId="0" fontId="27" fillId="5" borderId="0" xfId="0" applyFont="1" applyFill="1" applyAlignment="1">
      <alignment horizontal="left" vertical="top"/>
    </xf>
    <xf numFmtId="0" fontId="35" fillId="5" borderId="0" xfId="0" applyFont="1" applyFill="1" applyAlignment="1">
      <alignment horizontal="left" vertical="top"/>
    </xf>
    <xf numFmtId="0" fontId="29" fillId="3" borderId="18" xfId="0" applyFont="1" applyFill="1" applyBorder="1" applyAlignment="1" applyProtection="1">
      <alignment horizontal="left" vertical="top"/>
      <protection locked="0"/>
    </xf>
    <xf numFmtId="0" fontId="29" fillId="3" borderId="16" xfId="0" applyFont="1" applyFill="1" applyBorder="1" applyAlignment="1" applyProtection="1">
      <alignment horizontal="left" vertical="top"/>
      <protection locked="0"/>
    </xf>
    <xf numFmtId="0" fontId="32" fillId="3" borderId="21" xfId="0" applyFont="1" applyFill="1" applyBorder="1" applyAlignment="1" applyProtection="1">
      <alignment horizontal="left" vertical="top" wrapText="1"/>
      <protection locked="0"/>
    </xf>
    <xf numFmtId="0" fontId="32" fillId="3" borderId="29" xfId="0" applyFont="1" applyFill="1" applyBorder="1" applyAlignment="1" applyProtection="1">
      <alignment horizontal="left" vertical="top" wrapText="1"/>
      <protection locked="0"/>
    </xf>
    <xf numFmtId="0" fontId="32" fillId="3" borderId="19" xfId="0" applyFont="1" applyFill="1" applyBorder="1" applyAlignment="1" applyProtection="1">
      <alignment horizontal="left" vertical="top" wrapText="1"/>
      <protection locked="0"/>
    </xf>
    <xf numFmtId="0" fontId="32" fillId="3" borderId="32" xfId="0" applyFont="1" applyFill="1" applyBorder="1" applyAlignment="1" applyProtection="1">
      <alignment horizontal="left" vertical="top" wrapText="1"/>
      <protection locked="0"/>
    </xf>
    <xf numFmtId="0" fontId="32" fillId="3" borderId="0" xfId="0" applyFont="1" applyFill="1" applyAlignment="1" applyProtection="1">
      <alignment horizontal="left" vertical="top" wrapText="1"/>
      <protection locked="0"/>
    </xf>
    <xf numFmtId="0" fontId="32" fillId="3" borderId="30" xfId="0" applyFont="1" applyFill="1" applyBorder="1" applyAlignment="1" applyProtection="1">
      <alignment horizontal="left" vertical="top" wrapText="1"/>
      <protection locked="0"/>
    </xf>
    <xf numFmtId="0" fontId="32" fillId="3" borderId="15" xfId="0" applyFont="1" applyFill="1" applyBorder="1" applyAlignment="1" applyProtection="1">
      <alignment horizontal="left" vertical="top" wrapText="1"/>
      <protection locked="0"/>
    </xf>
    <xf numFmtId="0" fontId="32" fillId="3" borderId="31" xfId="0" applyFont="1" applyFill="1" applyBorder="1" applyAlignment="1" applyProtection="1">
      <alignment horizontal="left" vertical="top" wrapText="1"/>
      <protection locked="0"/>
    </xf>
    <xf numFmtId="0" fontId="32" fillId="3" borderId="13" xfId="0" applyFont="1" applyFill="1" applyBorder="1" applyAlignment="1" applyProtection="1">
      <alignment horizontal="left" vertical="top" wrapText="1"/>
      <protection locked="0"/>
    </xf>
    <xf numFmtId="0" fontId="32" fillId="5" borderId="0" xfId="0" applyFont="1" applyFill="1" applyAlignment="1">
      <alignment horizontal="right"/>
    </xf>
    <xf numFmtId="0" fontId="37" fillId="0" borderId="32" xfId="0" applyFont="1" applyBorder="1" applyAlignment="1">
      <alignment horizontal="left" vertical="center" wrapText="1" readingOrder="1"/>
    </xf>
    <xf numFmtId="0" fontId="37" fillId="0" borderId="0" xfId="0" applyFont="1" applyAlignment="1">
      <alignment horizontal="left" vertical="center" wrapText="1" readingOrder="1"/>
    </xf>
    <xf numFmtId="0" fontId="32" fillId="5" borderId="30" xfId="0" applyFont="1" applyFill="1" applyBorder="1" applyAlignment="1">
      <alignment horizontal="right" vertical="top" wrapText="1"/>
    </xf>
    <xf numFmtId="9" fontId="32" fillId="3" borderId="7" xfId="5" applyFont="1" applyFill="1" applyBorder="1" applyAlignment="1" applyProtection="1">
      <alignment horizontal="center"/>
      <protection locked="0"/>
    </xf>
    <xf numFmtId="0" fontId="37" fillId="8" borderId="29" xfId="0" applyFont="1" applyFill="1" applyBorder="1" applyAlignment="1">
      <alignment horizontal="left" vertical="top" wrapText="1" readingOrder="1"/>
    </xf>
    <xf numFmtId="0" fontId="37" fillId="8" borderId="0" xfId="0" applyFont="1" applyFill="1" applyAlignment="1">
      <alignment horizontal="left" vertical="top" wrapText="1" readingOrder="1"/>
    </xf>
    <xf numFmtId="0" fontId="37" fillId="0" borderId="21" xfId="0" applyFont="1" applyBorder="1" applyAlignment="1">
      <alignment horizontal="left" vertical="top" wrapText="1" readingOrder="1"/>
    </xf>
    <xf numFmtId="0" fontId="37" fillId="0" borderId="29" xfId="0" applyFont="1" applyBorder="1" applyAlignment="1">
      <alignment horizontal="left" vertical="top" wrapText="1" readingOrder="1"/>
    </xf>
    <xf numFmtId="0" fontId="37" fillId="0" borderId="32" xfId="0" applyFont="1" applyBorder="1" applyAlignment="1">
      <alignment horizontal="left" vertical="top" wrapText="1" readingOrder="1"/>
    </xf>
    <xf numFmtId="0" fontId="37" fillId="0" borderId="0" xfId="0" applyFont="1" applyAlignment="1">
      <alignment horizontal="left" vertical="top" wrapText="1" readingOrder="1"/>
    </xf>
    <xf numFmtId="0" fontId="37" fillId="8" borderId="16" xfId="0" applyFont="1" applyFill="1" applyBorder="1" applyAlignment="1">
      <alignment horizontal="left" vertical="center" wrapText="1" readingOrder="1"/>
    </xf>
    <xf numFmtId="0" fontId="37" fillId="8" borderId="17" xfId="0" applyFont="1" applyFill="1" applyBorder="1" applyAlignment="1">
      <alignment horizontal="left" vertical="center" wrapText="1" readingOrder="1"/>
    </xf>
    <xf numFmtId="0" fontId="37" fillId="8" borderId="18" xfId="0" applyFont="1" applyFill="1" applyBorder="1" applyAlignment="1">
      <alignment horizontal="left" vertical="center" wrapText="1" readingOrder="1"/>
    </xf>
    <xf numFmtId="0" fontId="37" fillId="8" borderId="0" xfId="0" applyFont="1" applyFill="1" applyAlignment="1">
      <alignment horizontal="left" vertical="center" wrapText="1" readingOrder="1"/>
    </xf>
    <xf numFmtId="0" fontId="37" fillId="8" borderId="31" xfId="0" applyFont="1" applyFill="1" applyBorder="1" applyAlignment="1">
      <alignment horizontal="left" vertical="center" wrapText="1" readingOrder="1"/>
    </xf>
    <xf numFmtId="0" fontId="23" fillId="5" borderId="0" xfId="0" applyFont="1" applyFill="1" applyAlignment="1">
      <alignment horizontal="left" vertical="top" wrapText="1"/>
    </xf>
    <xf numFmtId="0" fontId="33" fillId="5" borderId="0" xfId="0" applyFont="1" applyFill="1" applyAlignment="1">
      <alignment horizontal="left"/>
    </xf>
    <xf numFmtId="0" fontId="37" fillId="8" borderId="19" xfId="0" applyFont="1" applyFill="1" applyBorder="1" applyAlignment="1">
      <alignment horizontal="left" vertical="top" wrapText="1" readingOrder="1"/>
    </xf>
    <xf numFmtId="0" fontId="37" fillId="8" borderId="30" xfId="0" applyFont="1" applyFill="1" applyBorder="1" applyAlignment="1">
      <alignment horizontal="left" vertical="top" wrapText="1" readingOrder="1"/>
    </xf>
    <xf numFmtId="0" fontId="37" fillId="8" borderId="31" xfId="0" applyFont="1" applyFill="1" applyBorder="1" applyAlignment="1">
      <alignment horizontal="left" vertical="top" wrapText="1" readingOrder="1"/>
    </xf>
    <xf numFmtId="0" fontId="37" fillId="8" borderId="13" xfId="0" applyFont="1" applyFill="1" applyBorder="1" applyAlignment="1">
      <alignment horizontal="left" vertical="top" wrapText="1" readingOrder="1"/>
    </xf>
    <xf numFmtId="0" fontId="36" fillId="3" borderId="0" xfId="0" applyFont="1" applyFill="1" applyAlignment="1">
      <alignment horizontal="left" wrapText="1"/>
    </xf>
    <xf numFmtId="0" fontId="37" fillId="0" borderId="17" xfId="0" applyFont="1" applyBorder="1" applyAlignment="1">
      <alignment horizontal="left" vertical="center" wrapText="1" readingOrder="1"/>
    </xf>
    <xf numFmtId="0" fontId="37" fillId="0" borderId="18" xfId="0" applyFont="1" applyBorder="1" applyAlignment="1">
      <alignment horizontal="left" vertical="center" wrapText="1" readingOrder="1"/>
    </xf>
  </cellXfs>
  <cellStyles count="15">
    <cellStyle name="Comma" xfId="2" builtinId="3"/>
    <cellStyle name="Comma 2" xfId="9" xr:uid="{83DE18EA-5D31-44AA-ACEB-1E58A1FD3152}"/>
    <cellStyle name="Comma 2 2" xfId="8" xr:uid="{E73A5ECD-4A22-4BEA-B0D6-F8702AE5DE15}"/>
    <cellStyle name="Comma 2 2 2" xfId="13" xr:uid="{61926CBB-68E3-49AA-B8D3-A249A01049C7}"/>
    <cellStyle name="Comma 2 2 2 2" xfId="14" xr:uid="{2D427C0C-1448-4D12-93C4-FCE4B44BF245}"/>
    <cellStyle name="Currency" xfId="4" builtinId="4"/>
    <cellStyle name="Currency 2" xfId="11" xr:uid="{8DDA5574-3EE2-46D7-B3FB-4E41DD84052B}"/>
    <cellStyle name="Hyperlink" xfId="1" builtinId="8"/>
    <cellStyle name="Normal" xfId="0" builtinId="0"/>
    <cellStyle name="Normal 2" xfId="3" xr:uid="{68D529A9-1B30-4688-8744-23107A9C347D}"/>
    <cellStyle name="Normal 2 2" xfId="10" xr:uid="{5C9AE5F8-C4BD-464A-A36E-647C34C55A1D}"/>
    <cellStyle name="Normal 3" xfId="7" xr:uid="{598DB70E-DCF8-4F32-9E9C-14B5D83514B1}"/>
    <cellStyle name="Normal 5" xfId="6" xr:uid="{5125B4D4-EAC4-417D-B0A2-545CAD53BC04}"/>
    <cellStyle name="Normal 5 2" xfId="12" xr:uid="{4ED25BD4-767F-4025-B4E0-B82E12115A21}"/>
    <cellStyle name="Percent" xfId="5" builtinId="5"/>
  </cellStyles>
  <dxfs count="21">
    <dxf>
      <font>
        <color auto="1"/>
      </font>
      <fill>
        <patternFill>
          <bgColor theme="5"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ont>
        <b/>
        <i val="0"/>
        <color theme="5"/>
      </font>
    </dxf>
    <dxf>
      <font>
        <color theme="0" tint="-4.9989318521683403E-2"/>
      </font>
    </dxf>
    <dxf>
      <font>
        <color theme="1"/>
      </font>
      <fill>
        <patternFill>
          <bgColor theme="0"/>
        </patternFill>
      </fill>
    </dxf>
    <dxf>
      <font>
        <color theme="0" tint="-4.9989318521683403E-2"/>
      </font>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C00000"/>
      </font>
    </dxf>
    <dxf>
      <font>
        <color theme="9" tint="-0.24994659260841701"/>
      </font>
    </dxf>
    <dxf>
      <font>
        <color rgb="FFC00000"/>
      </font>
    </dxf>
    <dxf>
      <font>
        <color theme="9" tint="-0.24994659260841701"/>
      </font>
    </dxf>
    <dxf>
      <fill>
        <patternFill>
          <fgColor theme="0" tint="-4.9989318521683403E-2"/>
          <bgColor theme="0" tint="-4.9989318521683403E-2"/>
        </patternFill>
      </fill>
    </dxf>
    <dxf>
      <fill>
        <patternFill>
          <fgColor theme="0" tint="-4.9989318521683403E-2"/>
          <bgColor theme="0" tint="-4.9989318521683403E-2"/>
        </patternFill>
      </fill>
    </dxf>
  </dxfs>
  <tableStyles count="0" defaultTableStyle="TableStyleMedium2" defaultPivotStyle="PivotStyleLight16"/>
  <colors>
    <mruColors>
      <color rgb="FF277591"/>
      <color rgb="FF015A84"/>
      <color rgb="FFF0F8FB"/>
      <color rgb="FF2C86A6"/>
      <color rgb="FFCBE7F1"/>
      <color rgb="FFDEF0F6"/>
      <color rgb="FFFF00FF"/>
      <color rgb="FFF5F9FD"/>
      <color rgb="FF00598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8205128205128206E-2"/>
          <c:y val="8.1255747375474252E-2"/>
          <c:w val="0.64701223545544839"/>
          <c:h val="0.85831723373339064"/>
        </c:manualLayout>
      </c:layout>
      <c:barChart>
        <c:barDir val="bar"/>
        <c:grouping val="stacked"/>
        <c:varyColors val="0"/>
        <c:ser>
          <c:idx val="0"/>
          <c:order val="0"/>
          <c:tx>
            <c:strRef>
              <c:f>'Tool Calc Sheet'!$B$191</c:f>
              <c:strCache>
                <c:ptCount val="1"/>
                <c:pt idx="0">
                  <c:v>Business as Usual</c:v>
                </c:pt>
              </c:strCache>
            </c:strRef>
          </c:tx>
          <c:spPr>
            <a:solidFill>
              <a:schemeClr val="bg1">
                <a:lumMod val="75000"/>
              </a:schemeClr>
            </a:solidFill>
            <a:ln>
              <a:noFill/>
            </a:ln>
            <a:effectLst/>
          </c:spPr>
          <c:invertIfNegative val="0"/>
          <c:dLbls>
            <c:dLbl>
              <c:idx val="1"/>
              <c:delete val="1"/>
              <c:extLst>
                <c:ext xmlns:c15="http://schemas.microsoft.com/office/drawing/2012/chart" uri="{CE6537A1-D6FC-4f65-9D91-7224C49458BB}">
                  <c15:layout>
                    <c:manualLayout>
                      <c:w val="0.4915073209270146"/>
                      <c:h val="0.3090930555555555"/>
                    </c:manualLayout>
                  </c15:layout>
                </c:ext>
                <c:ext xmlns:c16="http://schemas.microsoft.com/office/drawing/2014/chart" uri="{C3380CC4-5D6E-409C-BE32-E72D297353CC}">
                  <c16:uniqueId val="{00000007-6FDF-4198-B701-14B182333454}"/>
                </c:ext>
              </c:extLst>
            </c:dLbl>
            <c:spPr>
              <a:noFill/>
              <a:ln>
                <a:noFill/>
              </a:ln>
              <a:effectLst/>
            </c:spPr>
            <c:txPr>
              <a:bodyPr rot="0" spcFirstLastPara="1" vertOverflow="ellipsis" vert="horz" wrap="square" lIns="38100" tIns="19050" rIns="38100" bIns="19050" anchor="ctr" anchorCtr="0">
                <a:spAutoFit/>
              </a:bodyPr>
              <a:lstStyle/>
              <a:p>
                <a:pPr algn="l">
                  <a:defRPr sz="1000" b="1"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inBase"/>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'Tool Calc Sheet'!$C$190:$D$190</c:f>
              <c:strCache>
                <c:ptCount val="2"/>
                <c:pt idx="0">
                  <c:v> Retrofit Measure </c:v>
                </c:pt>
                <c:pt idx="1">
                  <c:v>Business as Usual</c:v>
                </c:pt>
              </c:strCache>
            </c:strRef>
          </c:cat>
          <c:val>
            <c:numRef>
              <c:f>'Tool Calc Sheet'!$C$191:$D$191</c:f>
              <c:numCache>
                <c:formatCode>_-* #,##0_-;\-* #,##0_-;_-* "-"??_-;_-@_-</c:formatCode>
                <c:ptCount val="2"/>
                <c:pt idx="1">
                  <c:v>#N/A</c:v>
                </c:pt>
              </c:numCache>
            </c:numRef>
          </c:val>
          <c:extLst>
            <c:ext xmlns:c16="http://schemas.microsoft.com/office/drawing/2014/chart" uri="{C3380CC4-5D6E-409C-BE32-E72D297353CC}">
              <c16:uniqueId val="{00000000-6FDF-4198-B701-14B182333454}"/>
            </c:ext>
          </c:extLst>
        </c:ser>
        <c:ser>
          <c:idx val="1"/>
          <c:order val="1"/>
          <c:tx>
            <c:strRef>
              <c:f>'Tool Calc Sheet'!$B$192</c:f>
              <c:strCache>
                <c:ptCount val="1"/>
                <c:pt idx="0">
                  <c:v>Proposed - LOW</c:v>
                </c:pt>
              </c:strCache>
            </c:strRef>
          </c:tx>
          <c:spPr>
            <a:solidFill>
              <a:srgbClr val="015A84"/>
            </a:solidFill>
            <a:ln>
              <a:noFill/>
            </a:ln>
            <a:effectLst/>
          </c:spPr>
          <c:invertIfNegative val="0"/>
          <c:cat>
            <c:strRef>
              <c:f>'Tool Calc Sheet'!$C$190:$D$190</c:f>
              <c:strCache>
                <c:ptCount val="2"/>
                <c:pt idx="0">
                  <c:v> Retrofit Measure </c:v>
                </c:pt>
                <c:pt idx="1">
                  <c:v>Business as Usual</c:v>
                </c:pt>
              </c:strCache>
            </c:strRef>
          </c:cat>
          <c:val>
            <c:numRef>
              <c:f>'Tool Calc Sheet'!$C$192:$D$192</c:f>
              <c:numCache>
                <c:formatCode>_-* #,##0_-;\-* #,##0_-;_-* "-"??_-;_-@_-</c:formatCode>
                <c:ptCount val="2"/>
                <c:pt idx="0">
                  <c:v>#N/A</c:v>
                </c:pt>
              </c:numCache>
            </c:numRef>
          </c:val>
          <c:extLst>
            <c:ext xmlns:c16="http://schemas.microsoft.com/office/drawing/2014/chart" uri="{C3380CC4-5D6E-409C-BE32-E72D297353CC}">
              <c16:uniqueId val="{00000002-6FDF-4198-B701-14B182333454}"/>
            </c:ext>
          </c:extLst>
        </c:ser>
        <c:ser>
          <c:idx val="2"/>
          <c:order val="2"/>
          <c:tx>
            <c:strRef>
              <c:f>'Tool Calc Sheet'!$B$193</c:f>
              <c:strCache>
                <c:ptCount val="1"/>
                <c:pt idx="0">
                  <c:v>Proposed - HIGH - Difference</c:v>
                </c:pt>
              </c:strCache>
            </c:strRef>
          </c:tx>
          <c:spPr>
            <a:pattFill prst="dkDnDiag">
              <a:fgClr>
                <a:srgbClr val="015A84"/>
              </a:fgClr>
              <a:bgClr>
                <a:schemeClr val="bg1"/>
              </a:bgClr>
            </a:pattFill>
            <a:ln>
              <a:noFill/>
            </a:ln>
            <a:effectLst/>
          </c:spPr>
          <c:invertIfNegative val="0"/>
          <c:cat>
            <c:strRef>
              <c:f>'Tool Calc Sheet'!$C$190:$D$190</c:f>
              <c:strCache>
                <c:ptCount val="2"/>
                <c:pt idx="0">
                  <c:v> Retrofit Measure </c:v>
                </c:pt>
                <c:pt idx="1">
                  <c:v>Business as Usual</c:v>
                </c:pt>
              </c:strCache>
            </c:strRef>
          </c:cat>
          <c:val>
            <c:numRef>
              <c:f>'Tool Calc Sheet'!$C$193:$D$193</c:f>
              <c:numCache>
                <c:formatCode>_-* #,##0_-;\-* #,##0_-;_-* "-"??_-;_-@_-</c:formatCode>
                <c:ptCount val="2"/>
                <c:pt idx="0">
                  <c:v>#N/A</c:v>
                </c:pt>
              </c:numCache>
            </c:numRef>
          </c:val>
          <c:extLst>
            <c:ext xmlns:c16="http://schemas.microsoft.com/office/drawing/2014/chart" uri="{C3380CC4-5D6E-409C-BE32-E72D297353CC}">
              <c16:uniqueId val="{00000003-6FDF-4198-B701-14B182333454}"/>
            </c:ext>
          </c:extLst>
        </c:ser>
        <c:ser>
          <c:idx val="3"/>
          <c:order val="3"/>
          <c:tx>
            <c:strRef>
              <c:f>'Tool Calc Sheet'!$B$195</c:f>
              <c:strCache>
                <c:ptCount val="1"/>
                <c:pt idx="0">
                  <c:v>Labels</c:v>
                </c:pt>
              </c:strCache>
            </c:strRef>
          </c:tx>
          <c:spPr>
            <a:noFill/>
            <a:ln>
              <a:noFill/>
            </a:ln>
            <a:effectLst/>
          </c:spPr>
          <c:invertIfNegative val="0"/>
          <c:dLbls>
            <c:dLbl>
              <c:idx val="0"/>
              <c:tx>
                <c:rich>
                  <a:bodyPr rot="0" spcFirstLastPara="1" vertOverflow="ellipsis" vert="horz" wrap="square" lIns="38100" tIns="19050" rIns="38100" bIns="19050" anchor="ctr" anchorCtr="0">
                    <a:noAutofit/>
                  </a:bodyPr>
                  <a:lstStyle/>
                  <a:p>
                    <a:pPr algn="l">
                      <a:defRPr sz="900" b="0" i="0" u="none" strike="noStrike" kern="1200" baseline="0">
                        <a:solidFill>
                          <a:schemeClr val="tx1">
                            <a:lumMod val="75000"/>
                            <a:lumOff val="25000"/>
                          </a:schemeClr>
                        </a:solidFill>
                        <a:latin typeface="Avenir Next LT Pro" panose="020B0504020202020204" pitchFamily="34" charset="0"/>
                        <a:ea typeface="+mn-ea"/>
                        <a:cs typeface="+mn-cs"/>
                      </a:defRPr>
                    </a:pPr>
                    <a:fld id="{3FBF3587-61BB-442E-BF5F-62E84A455968}" type="CELLRANGE">
                      <a:rPr lang="en-US"/>
                      <a:pPr algn="l">
                        <a:defRPr>
                          <a:latin typeface="Avenir Next LT Pro" panose="020B0504020202020204" pitchFamily="34" charset="0"/>
                        </a:defRPr>
                      </a:pPr>
                      <a:t>[CELLRANGE]</a:t>
                    </a:fld>
                    <a:endParaRPr lang="en-CA"/>
                  </a:p>
                </c:rich>
              </c:tx>
              <c:numFmt formatCode="#,##0\ &quot;kWh/Year&quot;" sourceLinked="0"/>
              <c:spPr>
                <a:noFill/>
                <a:ln>
                  <a:noFill/>
                </a:ln>
                <a:effectLst/>
              </c:spPr>
              <c:txPr>
                <a:bodyPr rot="0" spcFirstLastPara="1" vertOverflow="ellipsis" vert="horz" wrap="square" lIns="38100" tIns="19050" rIns="38100" bIns="19050" anchor="ctr" anchorCtr="0">
                  <a:noAutofit/>
                </a:bodyPr>
                <a:lstStyle/>
                <a:p>
                  <a:pPr algn="l">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inBase"/>
              <c:showLegendKey val="0"/>
              <c:showVal val="0"/>
              <c:showCatName val="0"/>
              <c:showSerName val="0"/>
              <c:showPercent val="0"/>
              <c:showBubbleSize val="0"/>
              <c:extLst>
                <c:ext xmlns:c15="http://schemas.microsoft.com/office/drawing/2012/chart" uri="{CE6537A1-D6FC-4f65-9D91-7224C49458BB}">
                  <c15:layout>
                    <c:manualLayout>
                      <c:w val="0.35213184700440375"/>
                      <c:h val="0.47756698278948784"/>
                    </c:manualLayout>
                  </c15:layout>
                  <c15:dlblFieldTable/>
                  <c15:showDataLabelsRange val="1"/>
                </c:ext>
                <c:ext xmlns:c16="http://schemas.microsoft.com/office/drawing/2014/chart" uri="{C3380CC4-5D6E-409C-BE32-E72D297353CC}">
                  <c16:uniqueId val="{00000004-6FDF-4198-B701-14B182333454}"/>
                </c:ext>
              </c:extLst>
            </c:dLbl>
            <c:dLbl>
              <c:idx val="1"/>
              <c:tx>
                <c:rich>
                  <a:bodyPr rot="0" spcFirstLastPara="1" vertOverflow="ellipsis" vert="horz" wrap="square" lIns="38100" tIns="19050" rIns="38100" bIns="19050" anchor="ctr" anchorCtr="0">
                    <a:noAutofit/>
                  </a:bodyPr>
                  <a:lstStyle/>
                  <a:p>
                    <a:pPr algn="l">
                      <a:defRPr sz="900" b="0" i="0" u="none" strike="noStrike" kern="1200" baseline="0">
                        <a:solidFill>
                          <a:schemeClr val="tx1">
                            <a:lumMod val="75000"/>
                            <a:lumOff val="25000"/>
                          </a:schemeClr>
                        </a:solidFill>
                        <a:latin typeface="Avenir Next LT Pro" panose="020B0504020202020204" pitchFamily="34" charset="0"/>
                        <a:ea typeface="+mn-ea"/>
                        <a:cs typeface="+mn-cs"/>
                      </a:defRPr>
                    </a:pPr>
                    <a:fld id="{96853025-7A08-4196-BFB1-789E385632C4}" type="CELLRANGE">
                      <a:rPr lang="en-US"/>
                      <a:pPr algn="l">
                        <a:defRPr>
                          <a:latin typeface="Avenir Next LT Pro" panose="020B0504020202020204" pitchFamily="34" charset="0"/>
                        </a:defRPr>
                      </a:pPr>
                      <a:t>[CELLRANGE]</a:t>
                    </a:fld>
                    <a:endParaRPr lang="en-CA"/>
                  </a:p>
                </c:rich>
              </c:tx>
              <c:numFmt formatCode="#,##0\ &quot;kWh/Year&quot;" sourceLinked="0"/>
              <c:spPr>
                <a:noFill/>
                <a:ln>
                  <a:noFill/>
                </a:ln>
                <a:effectLst/>
              </c:spPr>
              <c:txPr>
                <a:bodyPr rot="0" spcFirstLastPara="1" vertOverflow="ellipsis" vert="horz" wrap="square" lIns="38100" tIns="19050" rIns="38100" bIns="19050" anchor="ctr" anchorCtr="0">
                  <a:noAutofit/>
                </a:bodyPr>
                <a:lstStyle/>
                <a:p>
                  <a:pPr algn="l">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inBase"/>
              <c:showLegendKey val="0"/>
              <c:showVal val="0"/>
              <c:showCatName val="0"/>
              <c:showSerName val="0"/>
              <c:showPercent val="0"/>
              <c:showBubbleSize val="0"/>
              <c:extLst>
                <c:ext xmlns:c15="http://schemas.microsoft.com/office/drawing/2012/chart" uri="{CE6537A1-D6FC-4f65-9D91-7224C49458BB}">
                  <c15:layout>
                    <c:manualLayout>
                      <c:w val="0.29649957765153628"/>
                      <c:h val="0.4421233310902406"/>
                    </c:manualLayout>
                  </c15:layout>
                  <c15:dlblFieldTable/>
                  <c15:showDataLabelsRange val="1"/>
                </c:ext>
                <c:ext xmlns:c16="http://schemas.microsoft.com/office/drawing/2014/chart" uri="{C3380CC4-5D6E-409C-BE32-E72D297353CC}">
                  <c16:uniqueId val="{00000005-6FDF-4198-B701-14B182333454}"/>
                </c:ext>
              </c:extLst>
            </c:dLbl>
            <c:numFmt formatCode="#,##0\ &quot;kWh/Year&quot;"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'Tool Calc Sheet'!$C$190:$D$190</c:f>
              <c:strCache>
                <c:ptCount val="2"/>
                <c:pt idx="0">
                  <c:v> Retrofit Measure </c:v>
                </c:pt>
                <c:pt idx="1">
                  <c:v>Business as Usual</c:v>
                </c:pt>
              </c:strCache>
            </c:strRef>
          </c:cat>
          <c:val>
            <c:numRef>
              <c:f>'Tool Calc Sheet'!$C$195:$D$195</c:f>
              <c:numCache>
                <c:formatCode>_-* #,##0_-;\-* #,##0_-;_-* "-"??_-;_-@_-</c:formatCode>
                <c:ptCount val="2"/>
                <c:pt idx="0">
                  <c:v>1</c:v>
                </c:pt>
                <c:pt idx="1">
                  <c:v>1</c:v>
                </c:pt>
              </c:numCache>
            </c:numRef>
          </c:val>
          <c:extLst>
            <c:ext xmlns:c15="http://schemas.microsoft.com/office/drawing/2012/chart" uri="{02D57815-91ED-43cb-92C2-25804820EDAC}">
              <c15:datalabelsRange>
                <c15:f>'Tool Calc Sheet'!$C$196:$D$196</c15:f>
                <c15:dlblRangeCache>
                  <c:ptCount val="2"/>
                  <c:pt idx="0">
                    <c:v>#N/A</c:v>
                  </c:pt>
                  <c:pt idx="1">
                    <c:v>#N/A</c:v>
                  </c:pt>
                </c15:dlblRangeCache>
              </c15:datalabelsRange>
            </c:ext>
            <c:ext xmlns:c16="http://schemas.microsoft.com/office/drawing/2014/chart" uri="{C3380CC4-5D6E-409C-BE32-E72D297353CC}">
              <c16:uniqueId val="{00000006-6FDF-4198-B701-14B182333454}"/>
            </c:ext>
          </c:extLst>
        </c:ser>
        <c:dLbls>
          <c:showLegendKey val="0"/>
          <c:showVal val="0"/>
          <c:showCatName val="0"/>
          <c:showSerName val="0"/>
          <c:showPercent val="0"/>
          <c:showBubbleSize val="0"/>
        </c:dLbls>
        <c:gapWidth val="0"/>
        <c:overlap val="100"/>
        <c:axId val="1730360735"/>
        <c:axId val="1730350175"/>
      </c:barChart>
      <c:catAx>
        <c:axId val="1730360735"/>
        <c:scaling>
          <c:orientation val="minMax"/>
        </c:scaling>
        <c:delete val="1"/>
        <c:axPos val="l"/>
        <c:numFmt formatCode="General" sourceLinked="1"/>
        <c:majorTickMark val="none"/>
        <c:minorTickMark val="none"/>
        <c:tickLblPos val="nextTo"/>
        <c:crossAx val="1730350175"/>
        <c:crosses val="autoZero"/>
        <c:auto val="1"/>
        <c:lblAlgn val="ctr"/>
        <c:lblOffset val="100"/>
        <c:noMultiLvlLbl val="0"/>
      </c:catAx>
      <c:valAx>
        <c:axId val="1730350175"/>
        <c:scaling>
          <c:orientation val="minMax"/>
        </c:scaling>
        <c:delete val="1"/>
        <c:axPos val="b"/>
        <c:majorGridlines>
          <c:spPr>
            <a:ln w="9525" cap="flat" cmpd="sng" algn="ctr">
              <a:noFill/>
              <a:round/>
            </a:ln>
            <a:effectLst/>
          </c:spPr>
        </c:majorGridlines>
        <c:numFmt formatCode="General" sourceLinked="1"/>
        <c:majorTickMark val="none"/>
        <c:minorTickMark val="none"/>
        <c:tickLblPos val="nextTo"/>
        <c:crossAx val="17303607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8205128205128206E-2"/>
          <c:y val="8.1255747375474252E-2"/>
          <c:w val="0.64168322134134059"/>
          <c:h val="0.85831723373339064"/>
        </c:manualLayout>
      </c:layout>
      <c:barChart>
        <c:barDir val="bar"/>
        <c:grouping val="stacked"/>
        <c:varyColors val="0"/>
        <c:ser>
          <c:idx val="0"/>
          <c:order val="0"/>
          <c:tx>
            <c:strRef>
              <c:f>'Tool Calc Sheet'!$B$200</c:f>
              <c:strCache>
                <c:ptCount val="1"/>
                <c:pt idx="0">
                  <c:v>Business as Usual</c:v>
                </c:pt>
              </c:strCache>
            </c:strRef>
          </c:tx>
          <c:spPr>
            <a:solidFill>
              <a:schemeClr val="bg1">
                <a:lumMod val="75000"/>
              </a:schemeClr>
            </a:solidFill>
            <a:ln>
              <a:noFill/>
            </a:ln>
            <a:effectLst/>
          </c:spPr>
          <c:invertIfNegative val="0"/>
          <c:cat>
            <c:strRef>
              <c:f>'Tool Calc Sheet'!$C$199:$D$199</c:f>
              <c:strCache>
                <c:ptCount val="2"/>
                <c:pt idx="0">
                  <c:v> Retrofit Measure </c:v>
                </c:pt>
                <c:pt idx="1">
                  <c:v>Business as Usual</c:v>
                </c:pt>
              </c:strCache>
            </c:strRef>
          </c:cat>
          <c:val>
            <c:numRef>
              <c:f>'Tool Calc Sheet'!$C$200:$D$200</c:f>
              <c:numCache>
                <c:formatCode>_-* #,##0_-;\-* #,##0_-;_-* "-"??_-;_-@_-</c:formatCode>
                <c:ptCount val="2"/>
                <c:pt idx="1">
                  <c:v>#N/A</c:v>
                </c:pt>
              </c:numCache>
            </c:numRef>
          </c:val>
          <c:extLst>
            <c:ext xmlns:c16="http://schemas.microsoft.com/office/drawing/2014/chart" uri="{C3380CC4-5D6E-409C-BE32-E72D297353CC}">
              <c16:uniqueId val="{00000001-F6E3-4050-AEDD-1E745E9C1481}"/>
            </c:ext>
          </c:extLst>
        </c:ser>
        <c:ser>
          <c:idx val="1"/>
          <c:order val="1"/>
          <c:tx>
            <c:strRef>
              <c:f>'Tool Calc Sheet'!$B$201</c:f>
              <c:strCache>
                <c:ptCount val="1"/>
                <c:pt idx="0">
                  <c:v>Proposed - LOW</c:v>
                </c:pt>
              </c:strCache>
            </c:strRef>
          </c:tx>
          <c:spPr>
            <a:solidFill>
              <a:srgbClr val="015A84"/>
            </a:solidFill>
            <a:ln>
              <a:noFill/>
            </a:ln>
            <a:effectLst/>
          </c:spPr>
          <c:invertIfNegative val="0"/>
          <c:cat>
            <c:strRef>
              <c:f>'Tool Calc Sheet'!$C$199:$D$199</c:f>
              <c:strCache>
                <c:ptCount val="2"/>
                <c:pt idx="0">
                  <c:v> Retrofit Measure </c:v>
                </c:pt>
                <c:pt idx="1">
                  <c:v>Business as Usual</c:v>
                </c:pt>
              </c:strCache>
            </c:strRef>
          </c:cat>
          <c:val>
            <c:numRef>
              <c:f>'Tool Calc Sheet'!$C$201:$D$201</c:f>
              <c:numCache>
                <c:formatCode>_-* #,##0_-;\-* #,##0_-;_-* "-"??_-;_-@_-</c:formatCode>
                <c:ptCount val="2"/>
                <c:pt idx="0">
                  <c:v>#N/A</c:v>
                </c:pt>
              </c:numCache>
            </c:numRef>
          </c:val>
          <c:extLst>
            <c:ext xmlns:c16="http://schemas.microsoft.com/office/drawing/2014/chart" uri="{C3380CC4-5D6E-409C-BE32-E72D297353CC}">
              <c16:uniqueId val="{00000003-F6E3-4050-AEDD-1E745E9C1481}"/>
            </c:ext>
          </c:extLst>
        </c:ser>
        <c:ser>
          <c:idx val="2"/>
          <c:order val="2"/>
          <c:tx>
            <c:strRef>
              <c:f>'Tool Calc Sheet'!$B$202</c:f>
              <c:strCache>
                <c:ptCount val="1"/>
                <c:pt idx="0">
                  <c:v>Proposed - HIGH - Difference</c:v>
                </c:pt>
              </c:strCache>
            </c:strRef>
          </c:tx>
          <c:spPr>
            <a:pattFill prst="dkDnDiag">
              <a:fgClr>
                <a:srgbClr val="015A84"/>
              </a:fgClr>
              <a:bgClr>
                <a:schemeClr val="bg1"/>
              </a:bgClr>
            </a:pattFill>
            <a:ln>
              <a:noFill/>
            </a:ln>
            <a:effectLst/>
          </c:spPr>
          <c:invertIfNegative val="0"/>
          <c:cat>
            <c:strRef>
              <c:f>'Tool Calc Sheet'!$C$199:$D$199</c:f>
              <c:strCache>
                <c:ptCount val="2"/>
                <c:pt idx="0">
                  <c:v> Retrofit Measure </c:v>
                </c:pt>
                <c:pt idx="1">
                  <c:v>Business as Usual</c:v>
                </c:pt>
              </c:strCache>
            </c:strRef>
          </c:cat>
          <c:val>
            <c:numRef>
              <c:f>'Tool Calc Sheet'!$C$202:$D$202</c:f>
              <c:numCache>
                <c:formatCode>_-* #,##0_-;\-* #,##0_-;_-* "-"??_-;_-@_-</c:formatCode>
                <c:ptCount val="2"/>
                <c:pt idx="0">
                  <c:v>#N/A</c:v>
                </c:pt>
              </c:numCache>
            </c:numRef>
          </c:val>
          <c:extLst>
            <c:ext xmlns:c16="http://schemas.microsoft.com/office/drawing/2014/chart" uri="{C3380CC4-5D6E-409C-BE32-E72D297353CC}">
              <c16:uniqueId val="{00000004-F6E3-4050-AEDD-1E745E9C1481}"/>
            </c:ext>
          </c:extLst>
        </c:ser>
        <c:ser>
          <c:idx val="3"/>
          <c:order val="3"/>
          <c:tx>
            <c:strRef>
              <c:f>'Tool Calc Sheet'!$B$204</c:f>
              <c:strCache>
                <c:ptCount val="1"/>
                <c:pt idx="0">
                  <c:v>Labels</c:v>
                </c:pt>
              </c:strCache>
            </c:strRef>
          </c:tx>
          <c:spPr>
            <a:noFill/>
            <a:ln>
              <a:noFill/>
            </a:ln>
            <a:effectLst/>
          </c:spPr>
          <c:invertIfNegative val="0"/>
          <c:dLbls>
            <c:dLbl>
              <c:idx val="0"/>
              <c:tx>
                <c:rich>
                  <a:bodyPr rot="0" spcFirstLastPara="1" vertOverflow="ellipsis" vert="horz" wrap="square" lIns="38100" tIns="19050" rIns="38100" bIns="19050" anchor="ctr" anchorCtr="0">
                    <a:noAutofit/>
                  </a:bodyPr>
                  <a:lstStyle/>
                  <a:p>
                    <a:pPr algn="l">
                      <a:defRPr sz="900" b="0" i="0" u="none" strike="noStrike" kern="1200" baseline="0">
                        <a:solidFill>
                          <a:schemeClr val="tx1">
                            <a:lumMod val="75000"/>
                            <a:lumOff val="25000"/>
                          </a:schemeClr>
                        </a:solidFill>
                        <a:latin typeface="Avenir Next LT Pro" panose="020B0504020202020204" pitchFamily="34" charset="0"/>
                        <a:ea typeface="+mn-ea"/>
                        <a:cs typeface="+mn-cs"/>
                      </a:defRPr>
                    </a:pPr>
                    <a:fld id="{87F03B3E-4C84-45D1-B5CB-8A0B86124C68}" type="CELLRANGE">
                      <a:rPr lang="en-US"/>
                      <a:pPr algn="l">
                        <a:defRPr>
                          <a:latin typeface="Avenir Next LT Pro" panose="020B0504020202020204" pitchFamily="34" charset="0"/>
                        </a:defRPr>
                      </a:pPr>
                      <a:t>[CELLRANGE]</a:t>
                    </a:fld>
                    <a:endParaRPr lang="en-CA"/>
                  </a:p>
                </c:rich>
              </c:tx>
              <c:spPr>
                <a:noFill/>
                <a:ln>
                  <a:noFill/>
                </a:ln>
                <a:effectLst/>
              </c:spPr>
              <c:txPr>
                <a:bodyPr rot="0" spcFirstLastPara="1" vertOverflow="ellipsis" vert="horz" wrap="square" lIns="38100" tIns="19050" rIns="38100" bIns="19050" anchor="ctr" anchorCtr="0">
                  <a:noAutofit/>
                </a:bodyPr>
                <a:lstStyle/>
                <a:p>
                  <a:pPr algn="l">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inBase"/>
              <c:showLegendKey val="0"/>
              <c:showVal val="0"/>
              <c:showCatName val="0"/>
              <c:showSerName val="0"/>
              <c:showPercent val="0"/>
              <c:showBubbleSize val="0"/>
              <c:extLst>
                <c:ext xmlns:c15="http://schemas.microsoft.com/office/drawing/2012/chart" uri="{CE6537A1-D6FC-4f65-9D91-7224C49458BB}">
                  <c15:layout>
                    <c:manualLayout>
                      <c:w val="0.36654342120278438"/>
                      <c:h val="0.52200138888888892"/>
                    </c:manualLayout>
                  </c15:layout>
                  <c15:dlblFieldTable/>
                  <c15:showDataLabelsRange val="1"/>
                </c:ext>
                <c:ext xmlns:c16="http://schemas.microsoft.com/office/drawing/2014/chart" uri="{C3380CC4-5D6E-409C-BE32-E72D297353CC}">
                  <c16:uniqueId val="{00000005-F6E3-4050-AEDD-1E745E9C1481}"/>
                </c:ext>
              </c:extLst>
            </c:dLbl>
            <c:dLbl>
              <c:idx val="1"/>
              <c:tx>
                <c:rich>
                  <a:bodyPr rot="0" spcFirstLastPara="1" vertOverflow="ellipsis" vert="horz" wrap="square" lIns="38100" tIns="19050" rIns="38100" bIns="19050" anchor="ctr" anchorCtr="0">
                    <a:noAutofit/>
                  </a:bodyPr>
                  <a:lstStyle/>
                  <a:p>
                    <a:pPr algn="l">
                      <a:defRPr sz="900" b="0" i="0" u="none" strike="noStrike" kern="1200" baseline="0">
                        <a:solidFill>
                          <a:schemeClr val="tx1">
                            <a:lumMod val="75000"/>
                            <a:lumOff val="25000"/>
                          </a:schemeClr>
                        </a:solidFill>
                        <a:latin typeface="Avenir Next LT Pro" panose="020B0504020202020204" pitchFamily="34" charset="0"/>
                        <a:ea typeface="+mn-ea"/>
                        <a:cs typeface="+mn-cs"/>
                      </a:defRPr>
                    </a:pPr>
                    <a:fld id="{A31E1EE4-45AC-4302-BA2F-434D8038871A}" type="CELLRANGE">
                      <a:rPr lang="en-US"/>
                      <a:pPr algn="l">
                        <a:defRPr>
                          <a:latin typeface="Avenir Next LT Pro" panose="020B0504020202020204" pitchFamily="34" charset="0"/>
                        </a:defRPr>
                      </a:pPr>
                      <a:t>[CELLRANGE]</a:t>
                    </a:fld>
                    <a:endParaRPr lang="en-CA"/>
                  </a:p>
                </c:rich>
              </c:tx>
              <c:spPr>
                <a:noFill/>
                <a:ln>
                  <a:noFill/>
                </a:ln>
                <a:effectLst/>
              </c:spPr>
              <c:txPr>
                <a:bodyPr rot="0" spcFirstLastPara="1" vertOverflow="ellipsis" vert="horz" wrap="square" lIns="38100" tIns="19050" rIns="38100" bIns="19050" anchor="ctr" anchorCtr="0">
                  <a:noAutofit/>
                </a:bodyPr>
                <a:lstStyle/>
                <a:p>
                  <a:pPr algn="l">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inBase"/>
              <c:showLegendKey val="0"/>
              <c:showVal val="0"/>
              <c:showCatName val="0"/>
              <c:showSerName val="0"/>
              <c:showPercent val="0"/>
              <c:showBubbleSize val="0"/>
              <c:extLst>
                <c:ext xmlns:c15="http://schemas.microsoft.com/office/drawing/2012/chart" uri="{CE6537A1-D6FC-4f65-9D91-7224C49458BB}">
                  <c15:layout>
                    <c:manualLayout>
                      <c:w val="0.31132829773256221"/>
                      <c:h val="0.26328950294673631"/>
                    </c:manualLayout>
                  </c15:layout>
                  <c15:dlblFieldTable/>
                  <c15:showDataLabelsRange val="1"/>
                </c:ext>
                <c:ext xmlns:c16="http://schemas.microsoft.com/office/drawing/2014/chart" uri="{C3380CC4-5D6E-409C-BE32-E72D297353CC}">
                  <c16:uniqueId val="{00000006-F6E3-4050-AEDD-1E745E9C148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'Tool Calc Sheet'!$C$199:$D$199</c:f>
              <c:strCache>
                <c:ptCount val="2"/>
                <c:pt idx="0">
                  <c:v> Retrofit Measure </c:v>
                </c:pt>
                <c:pt idx="1">
                  <c:v>Business as Usual</c:v>
                </c:pt>
              </c:strCache>
            </c:strRef>
          </c:cat>
          <c:val>
            <c:numRef>
              <c:f>'Tool Calc Sheet'!$C$204:$D$204</c:f>
              <c:numCache>
                <c:formatCode>_-* #,##0_-;\-* #,##0_-;_-* "-"??_-;_-@_-</c:formatCode>
                <c:ptCount val="2"/>
                <c:pt idx="0">
                  <c:v>1</c:v>
                </c:pt>
                <c:pt idx="1">
                  <c:v>1</c:v>
                </c:pt>
              </c:numCache>
            </c:numRef>
          </c:val>
          <c:extLst>
            <c:ext xmlns:c15="http://schemas.microsoft.com/office/drawing/2012/chart" uri="{02D57815-91ED-43cb-92C2-25804820EDAC}">
              <c15:datalabelsRange>
                <c15:f>'Tool Calc Sheet'!$C$205:$D$205</c15:f>
                <c15:dlblRangeCache>
                  <c:ptCount val="2"/>
                  <c:pt idx="0">
                    <c:v>#N/A</c:v>
                  </c:pt>
                  <c:pt idx="1">
                    <c:v>#N/A</c:v>
                  </c:pt>
                </c15:dlblRangeCache>
              </c15:datalabelsRange>
            </c:ext>
            <c:ext xmlns:c16="http://schemas.microsoft.com/office/drawing/2014/chart" uri="{C3380CC4-5D6E-409C-BE32-E72D297353CC}">
              <c16:uniqueId val="{00000007-F6E3-4050-AEDD-1E745E9C1481}"/>
            </c:ext>
          </c:extLst>
        </c:ser>
        <c:dLbls>
          <c:showLegendKey val="0"/>
          <c:showVal val="0"/>
          <c:showCatName val="0"/>
          <c:showSerName val="0"/>
          <c:showPercent val="0"/>
          <c:showBubbleSize val="0"/>
        </c:dLbls>
        <c:gapWidth val="0"/>
        <c:overlap val="100"/>
        <c:axId val="1730360735"/>
        <c:axId val="1730350175"/>
      </c:barChart>
      <c:catAx>
        <c:axId val="1730360735"/>
        <c:scaling>
          <c:orientation val="minMax"/>
        </c:scaling>
        <c:delete val="1"/>
        <c:axPos val="l"/>
        <c:numFmt formatCode="General" sourceLinked="1"/>
        <c:majorTickMark val="none"/>
        <c:minorTickMark val="none"/>
        <c:tickLblPos val="nextTo"/>
        <c:crossAx val="1730350175"/>
        <c:crosses val="autoZero"/>
        <c:auto val="1"/>
        <c:lblAlgn val="ctr"/>
        <c:lblOffset val="100"/>
        <c:noMultiLvlLbl val="0"/>
      </c:catAx>
      <c:valAx>
        <c:axId val="1730350175"/>
        <c:scaling>
          <c:orientation val="minMax"/>
        </c:scaling>
        <c:delete val="1"/>
        <c:axPos val="b"/>
        <c:majorGridlines>
          <c:spPr>
            <a:ln w="9525" cap="flat" cmpd="sng" algn="ctr">
              <a:noFill/>
              <a:round/>
            </a:ln>
            <a:effectLst/>
          </c:spPr>
        </c:majorGridlines>
        <c:numFmt formatCode="General" sourceLinked="1"/>
        <c:majorTickMark val="none"/>
        <c:minorTickMark val="none"/>
        <c:tickLblPos val="nextTo"/>
        <c:crossAx val="17303607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8205128205128206E-2"/>
          <c:y val="8.1255747375474252E-2"/>
          <c:w val="0.64652563510463534"/>
          <c:h val="0.85831723373339064"/>
        </c:manualLayout>
      </c:layout>
      <c:barChart>
        <c:barDir val="bar"/>
        <c:grouping val="stacked"/>
        <c:varyColors val="0"/>
        <c:ser>
          <c:idx val="0"/>
          <c:order val="0"/>
          <c:tx>
            <c:strRef>
              <c:f>'Tool Calc Sheet'!$B$209</c:f>
              <c:strCache>
                <c:ptCount val="1"/>
                <c:pt idx="0">
                  <c:v>Business as Usual</c:v>
                </c:pt>
              </c:strCache>
            </c:strRef>
          </c:tx>
          <c:spPr>
            <a:solidFill>
              <a:schemeClr val="bg1">
                <a:lumMod val="75000"/>
              </a:schemeClr>
            </a:solidFill>
            <a:ln>
              <a:noFill/>
            </a:ln>
            <a:effectLst/>
          </c:spPr>
          <c:invertIfNegative val="0"/>
          <c:cat>
            <c:strRef>
              <c:f>'Tool Calc Sheet'!$C$208:$D$208</c:f>
              <c:strCache>
                <c:ptCount val="2"/>
                <c:pt idx="0">
                  <c:v> Retrofit Measure </c:v>
                </c:pt>
                <c:pt idx="1">
                  <c:v>Business as Usual</c:v>
                </c:pt>
              </c:strCache>
            </c:strRef>
          </c:cat>
          <c:val>
            <c:numRef>
              <c:f>'Tool Calc Sheet'!$C$209:$D$209</c:f>
              <c:numCache>
                <c:formatCode>_-"$"* #,##0_-;\-"$"* #,##0_-;_-"$"* "-"??_-;_-@_-</c:formatCode>
                <c:ptCount val="2"/>
                <c:pt idx="1">
                  <c:v>0</c:v>
                </c:pt>
              </c:numCache>
            </c:numRef>
          </c:val>
          <c:extLst>
            <c:ext xmlns:c16="http://schemas.microsoft.com/office/drawing/2014/chart" uri="{C3380CC4-5D6E-409C-BE32-E72D297353CC}">
              <c16:uniqueId val="{00000001-CAF4-4E5C-9FF4-ECC2CF5AA803}"/>
            </c:ext>
          </c:extLst>
        </c:ser>
        <c:ser>
          <c:idx val="1"/>
          <c:order val="1"/>
          <c:tx>
            <c:strRef>
              <c:f>'Tool Calc Sheet'!$B$210</c:f>
              <c:strCache>
                <c:ptCount val="1"/>
                <c:pt idx="0">
                  <c:v>Proposed - LOW</c:v>
                </c:pt>
              </c:strCache>
            </c:strRef>
          </c:tx>
          <c:spPr>
            <a:solidFill>
              <a:srgbClr val="015A84"/>
            </a:solidFill>
            <a:ln>
              <a:noFill/>
            </a:ln>
            <a:effectLst/>
          </c:spPr>
          <c:invertIfNegative val="0"/>
          <c:cat>
            <c:strRef>
              <c:f>'Tool Calc Sheet'!$C$208:$D$208</c:f>
              <c:strCache>
                <c:ptCount val="2"/>
                <c:pt idx="0">
                  <c:v> Retrofit Measure </c:v>
                </c:pt>
                <c:pt idx="1">
                  <c:v>Business as Usual</c:v>
                </c:pt>
              </c:strCache>
            </c:strRef>
          </c:cat>
          <c:val>
            <c:numRef>
              <c:f>'Tool Calc Sheet'!$C$210:$D$210</c:f>
              <c:numCache>
                <c:formatCode>_-"$"* #,##0_-;\-"$"* #,##0_-;_-"$"* "-"??_-;_-@_-</c:formatCode>
                <c:ptCount val="2"/>
                <c:pt idx="0">
                  <c:v>#N/A</c:v>
                </c:pt>
              </c:numCache>
            </c:numRef>
          </c:val>
          <c:extLst>
            <c:ext xmlns:c16="http://schemas.microsoft.com/office/drawing/2014/chart" uri="{C3380CC4-5D6E-409C-BE32-E72D297353CC}">
              <c16:uniqueId val="{00000002-CAF4-4E5C-9FF4-ECC2CF5AA803}"/>
            </c:ext>
          </c:extLst>
        </c:ser>
        <c:ser>
          <c:idx val="2"/>
          <c:order val="2"/>
          <c:tx>
            <c:strRef>
              <c:f>'Tool Calc Sheet'!$B$211</c:f>
              <c:strCache>
                <c:ptCount val="1"/>
                <c:pt idx="0">
                  <c:v>Proposed - HIGH - Difference</c:v>
                </c:pt>
              </c:strCache>
            </c:strRef>
          </c:tx>
          <c:spPr>
            <a:pattFill prst="dkDnDiag">
              <a:fgClr>
                <a:srgbClr val="015A84"/>
              </a:fgClr>
              <a:bgClr>
                <a:schemeClr val="bg1"/>
              </a:bgClr>
            </a:pattFill>
            <a:ln>
              <a:noFill/>
            </a:ln>
            <a:effectLst/>
          </c:spPr>
          <c:invertIfNegative val="0"/>
          <c:cat>
            <c:strRef>
              <c:f>'Tool Calc Sheet'!$C$208:$D$208</c:f>
              <c:strCache>
                <c:ptCount val="2"/>
                <c:pt idx="0">
                  <c:v> Retrofit Measure </c:v>
                </c:pt>
                <c:pt idx="1">
                  <c:v>Business as Usual</c:v>
                </c:pt>
              </c:strCache>
            </c:strRef>
          </c:cat>
          <c:val>
            <c:numRef>
              <c:f>'Tool Calc Sheet'!$C$211:$D$211</c:f>
              <c:numCache>
                <c:formatCode>_-"$"* #,##0_-;\-"$"* #,##0_-;_-"$"* "-"??_-;_-@_-</c:formatCode>
                <c:ptCount val="2"/>
                <c:pt idx="0">
                  <c:v>#N/A</c:v>
                </c:pt>
              </c:numCache>
            </c:numRef>
          </c:val>
          <c:extLst>
            <c:ext xmlns:c16="http://schemas.microsoft.com/office/drawing/2014/chart" uri="{C3380CC4-5D6E-409C-BE32-E72D297353CC}">
              <c16:uniqueId val="{00000003-CAF4-4E5C-9FF4-ECC2CF5AA803}"/>
            </c:ext>
          </c:extLst>
        </c:ser>
        <c:ser>
          <c:idx val="3"/>
          <c:order val="3"/>
          <c:tx>
            <c:strRef>
              <c:f>'Tool Calc Sheet'!$B$213</c:f>
              <c:strCache>
                <c:ptCount val="1"/>
                <c:pt idx="0">
                  <c:v>Labels</c:v>
                </c:pt>
              </c:strCache>
            </c:strRef>
          </c:tx>
          <c:spPr>
            <a:noFill/>
            <a:ln>
              <a:noFill/>
            </a:ln>
            <a:effectLst/>
          </c:spPr>
          <c:invertIfNegative val="0"/>
          <c:dLbls>
            <c:dLbl>
              <c:idx val="0"/>
              <c:tx>
                <c:rich>
                  <a:bodyPr rot="0" spcFirstLastPara="1" vertOverflow="ellipsis" vert="horz" wrap="square" lIns="38100" tIns="19050" rIns="38100" bIns="19050" anchor="ctr" anchorCtr="0">
                    <a:spAutoFit/>
                  </a:bodyPr>
                  <a:lstStyle/>
                  <a:p>
                    <a:pPr algn="l">
                      <a:defRPr sz="900" b="0" i="0" u="none" strike="noStrike" kern="1200" baseline="0">
                        <a:solidFill>
                          <a:schemeClr val="tx1">
                            <a:lumMod val="75000"/>
                            <a:lumOff val="25000"/>
                          </a:schemeClr>
                        </a:solidFill>
                        <a:latin typeface="Avenir Next LT Pro" panose="020B0504020202020204" pitchFamily="34" charset="0"/>
                        <a:ea typeface="+mn-ea"/>
                        <a:cs typeface="+mn-cs"/>
                      </a:defRPr>
                    </a:pPr>
                    <a:fld id="{42E006DF-5DD1-4D39-9A4D-711A0B9B6D8F}" type="CELLRANGE">
                      <a:rPr lang="en-US"/>
                      <a:pPr algn="l">
                        <a:defRPr>
                          <a:latin typeface="Avenir Next LT Pro" panose="020B0504020202020204" pitchFamily="34" charset="0"/>
                        </a:defRPr>
                      </a:pPr>
                      <a:t>[CELLRANGE]</a:t>
                    </a:fld>
                    <a:endParaRPr lang="en-CA"/>
                  </a:p>
                </c:rich>
              </c:tx>
              <c:spPr>
                <a:noFill/>
                <a:ln>
                  <a:noFill/>
                </a:ln>
                <a:effectLst/>
              </c:spPr>
              <c:txPr>
                <a:bodyPr rot="0" spcFirstLastPara="1" vertOverflow="ellipsis" vert="horz" wrap="square" lIns="38100" tIns="19050" rIns="38100" bIns="19050" anchor="ctr" anchorCtr="0">
                  <a:spAutoFit/>
                </a:bodyPr>
                <a:lstStyle/>
                <a:p>
                  <a:pPr algn="l">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inBase"/>
              <c:showLegendKey val="0"/>
              <c:showVal val="0"/>
              <c:showCatName val="0"/>
              <c:showSerName val="0"/>
              <c:showPercent val="0"/>
              <c:showBubbleSize val="0"/>
              <c:extLst>
                <c:ext xmlns:c15="http://schemas.microsoft.com/office/drawing/2012/chart" uri="{CE6537A1-D6FC-4f65-9D91-7224C49458BB}">
                  <c15:layout>
                    <c:manualLayout>
                      <c:w val="0.26835966640393238"/>
                      <c:h val="0.44044305555555557"/>
                    </c:manualLayout>
                  </c15:layout>
                  <c15:dlblFieldTable/>
                  <c15:showDataLabelsRange val="1"/>
                </c:ext>
                <c:ext xmlns:c16="http://schemas.microsoft.com/office/drawing/2014/chart" uri="{C3380CC4-5D6E-409C-BE32-E72D297353CC}">
                  <c16:uniqueId val="{00000004-CAF4-4E5C-9FF4-ECC2CF5AA803}"/>
                </c:ext>
              </c:extLst>
            </c:dLbl>
            <c:dLbl>
              <c:idx val="1"/>
              <c:tx>
                <c:rich>
                  <a:bodyPr/>
                  <a:lstStyle/>
                  <a:p>
                    <a:fld id="{FDD4364D-B9C7-4E25-8C0A-A6C936727B13}" type="CELLRANGE">
                      <a:rPr lang="en-CA"/>
                      <a:pPr/>
                      <a:t>[CELLRANGE]</a:t>
                    </a:fld>
                    <a:endParaRPr lang="en-CA"/>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CAF4-4E5C-9FF4-ECC2CF5AA80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'Tool Calc Sheet'!$C$208:$D$208</c:f>
              <c:strCache>
                <c:ptCount val="2"/>
                <c:pt idx="0">
                  <c:v> Retrofit Measure </c:v>
                </c:pt>
                <c:pt idx="1">
                  <c:v>Business as Usual</c:v>
                </c:pt>
              </c:strCache>
            </c:strRef>
          </c:cat>
          <c:val>
            <c:numRef>
              <c:f>'Tool Calc Sheet'!$C$213:$D$213</c:f>
              <c:numCache>
                <c:formatCode>_-* #,##0_-;\-* #,##0_-;_-* "-"??_-;_-@_-</c:formatCode>
                <c:ptCount val="2"/>
                <c:pt idx="0">
                  <c:v>1</c:v>
                </c:pt>
                <c:pt idx="1">
                  <c:v>1</c:v>
                </c:pt>
              </c:numCache>
            </c:numRef>
          </c:val>
          <c:extLst>
            <c:ext xmlns:c15="http://schemas.microsoft.com/office/drawing/2012/chart" uri="{02D57815-91ED-43cb-92C2-25804820EDAC}">
              <c15:datalabelsRange>
                <c15:f>'Tool Calc Sheet'!$C$214:$D$214</c15:f>
                <c15:dlblRangeCache>
                  <c:ptCount val="2"/>
                  <c:pt idx="0">
                    <c:v>#N/A</c:v>
                  </c:pt>
                </c15:dlblRangeCache>
              </c15:datalabelsRange>
            </c:ext>
            <c:ext xmlns:c16="http://schemas.microsoft.com/office/drawing/2014/chart" uri="{C3380CC4-5D6E-409C-BE32-E72D297353CC}">
              <c16:uniqueId val="{00000006-CAF4-4E5C-9FF4-ECC2CF5AA803}"/>
            </c:ext>
          </c:extLst>
        </c:ser>
        <c:dLbls>
          <c:showLegendKey val="0"/>
          <c:showVal val="0"/>
          <c:showCatName val="0"/>
          <c:showSerName val="0"/>
          <c:showPercent val="0"/>
          <c:showBubbleSize val="0"/>
        </c:dLbls>
        <c:gapWidth val="0"/>
        <c:overlap val="100"/>
        <c:axId val="1730360735"/>
        <c:axId val="1730350175"/>
      </c:barChart>
      <c:catAx>
        <c:axId val="1730360735"/>
        <c:scaling>
          <c:orientation val="minMax"/>
        </c:scaling>
        <c:delete val="1"/>
        <c:axPos val="l"/>
        <c:numFmt formatCode="General" sourceLinked="1"/>
        <c:majorTickMark val="none"/>
        <c:minorTickMark val="none"/>
        <c:tickLblPos val="nextTo"/>
        <c:crossAx val="1730350175"/>
        <c:crosses val="autoZero"/>
        <c:auto val="1"/>
        <c:lblAlgn val="ctr"/>
        <c:lblOffset val="100"/>
        <c:noMultiLvlLbl val="0"/>
      </c:catAx>
      <c:valAx>
        <c:axId val="1730350175"/>
        <c:scaling>
          <c:orientation val="minMax"/>
        </c:scaling>
        <c:delete val="1"/>
        <c:axPos val="b"/>
        <c:majorGridlines>
          <c:spPr>
            <a:ln w="9525" cap="flat" cmpd="sng" algn="ctr">
              <a:noFill/>
              <a:round/>
            </a:ln>
            <a:effectLst/>
          </c:spPr>
        </c:majorGridlines>
        <c:numFmt formatCode="_-&quot;$&quot;* #,##0_-;\-&quot;$&quot;* #,##0_-;_-&quot;$&quot;* &quot;-&quot;??_-;_-@_-" sourceLinked="1"/>
        <c:majorTickMark val="none"/>
        <c:minorTickMark val="none"/>
        <c:tickLblPos val="nextTo"/>
        <c:crossAx val="17303607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8205128205128206E-2"/>
          <c:y val="8.1255747375474252E-2"/>
          <c:w val="0.6443774913074175"/>
          <c:h val="0.85831723373339064"/>
        </c:manualLayout>
      </c:layout>
      <c:barChart>
        <c:barDir val="bar"/>
        <c:grouping val="stacked"/>
        <c:varyColors val="0"/>
        <c:ser>
          <c:idx val="0"/>
          <c:order val="0"/>
          <c:tx>
            <c:strRef>
              <c:f>'Tool Calc Sheet'!$B$218</c:f>
              <c:strCache>
                <c:ptCount val="1"/>
                <c:pt idx="0">
                  <c:v>Business as Usual</c:v>
                </c:pt>
              </c:strCache>
            </c:strRef>
          </c:tx>
          <c:spPr>
            <a:solidFill>
              <a:schemeClr val="bg1">
                <a:lumMod val="75000"/>
              </a:schemeClr>
            </a:solidFill>
            <a:ln>
              <a:noFill/>
            </a:ln>
            <a:effectLst/>
          </c:spPr>
          <c:invertIfNegative val="0"/>
          <c:cat>
            <c:strRef>
              <c:f>'Tool Calc Sheet'!$C$217:$D$217</c:f>
              <c:strCache>
                <c:ptCount val="2"/>
                <c:pt idx="0">
                  <c:v> Retrofit Measure </c:v>
                </c:pt>
                <c:pt idx="1">
                  <c:v>Business as Usual</c:v>
                </c:pt>
              </c:strCache>
            </c:strRef>
          </c:cat>
          <c:val>
            <c:numRef>
              <c:f>'Tool Calc Sheet'!$C$218:$D$218</c:f>
              <c:numCache>
                <c:formatCode>_-"$"* #,##0_-;\-"$"* #,##0_-;_-"$"* "-"??_-;_-@_-</c:formatCode>
                <c:ptCount val="2"/>
                <c:pt idx="1">
                  <c:v>#N/A</c:v>
                </c:pt>
              </c:numCache>
            </c:numRef>
          </c:val>
          <c:extLst>
            <c:ext xmlns:c16="http://schemas.microsoft.com/office/drawing/2014/chart" uri="{C3380CC4-5D6E-409C-BE32-E72D297353CC}">
              <c16:uniqueId val="{00000001-E920-41A5-85D5-864F06657AE1}"/>
            </c:ext>
          </c:extLst>
        </c:ser>
        <c:ser>
          <c:idx val="1"/>
          <c:order val="1"/>
          <c:tx>
            <c:strRef>
              <c:f>'Tool Calc Sheet'!$B$219</c:f>
              <c:strCache>
                <c:ptCount val="1"/>
                <c:pt idx="0">
                  <c:v>Proposed - LOW</c:v>
                </c:pt>
              </c:strCache>
            </c:strRef>
          </c:tx>
          <c:spPr>
            <a:solidFill>
              <a:srgbClr val="015A84"/>
            </a:solidFill>
            <a:ln>
              <a:noFill/>
            </a:ln>
            <a:effectLst/>
          </c:spPr>
          <c:invertIfNegative val="0"/>
          <c:cat>
            <c:strRef>
              <c:f>'Tool Calc Sheet'!$C$217:$D$217</c:f>
              <c:strCache>
                <c:ptCount val="2"/>
                <c:pt idx="0">
                  <c:v> Retrofit Measure </c:v>
                </c:pt>
                <c:pt idx="1">
                  <c:v>Business as Usual</c:v>
                </c:pt>
              </c:strCache>
            </c:strRef>
          </c:cat>
          <c:val>
            <c:numRef>
              <c:f>'Tool Calc Sheet'!$C$219:$D$219</c:f>
              <c:numCache>
                <c:formatCode>_-"$"* #,##0_-;\-"$"* #,##0_-;_-"$"* "-"??_-;_-@_-</c:formatCode>
                <c:ptCount val="2"/>
                <c:pt idx="0">
                  <c:v>#N/A</c:v>
                </c:pt>
              </c:numCache>
            </c:numRef>
          </c:val>
          <c:extLst>
            <c:ext xmlns:c16="http://schemas.microsoft.com/office/drawing/2014/chart" uri="{C3380CC4-5D6E-409C-BE32-E72D297353CC}">
              <c16:uniqueId val="{00000002-E920-41A5-85D5-864F06657AE1}"/>
            </c:ext>
          </c:extLst>
        </c:ser>
        <c:ser>
          <c:idx val="2"/>
          <c:order val="2"/>
          <c:tx>
            <c:strRef>
              <c:f>'Tool Calc Sheet'!$B$220</c:f>
              <c:strCache>
                <c:ptCount val="1"/>
                <c:pt idx="0">
                  <c:v>Proposed - HIGH - Difference</c:v>
                </c:pt>
              </c:strCache>
            </c:strRef>
          </c:tx>
          <c:spPr>
            <a:pattFill prst="dkDnDiag">
              <a:fgClr>
                <a:srgbClr val="015A84"/>
              </a:fgClr>
              <a:bgClr>
                <a:schemeClr val="bg1"/>
              </a:bgClr>
            </a:pattFill>
            <a:ln>
              <a:noFill/>
            </a:ln>
            <a:effectLst/>
          </c:spPr>
          <c:invertIfNegative val="0"/>
          <c:cat>
            <c:strRef>
              <c:f>'Tool Calc Sheet'!$C$217:$D$217</c:f>
              <c:strCache>
                <c:ptCount val="2"/>
                <c:pt idx="0">
                  <c:v> Retrofit Measure </c:v>
                </c:pt>
                <c:pt idx="1">
                  <c:v>Business as Usual</c:v>
                </c:pt>
              </c:strCache>
            </c:strRef>
          </c:cat>
          <c:val>
            <c:numRef>
              <c:f>'Tool Calc Sheet'!$C$220:$D$220</c:f>
              <c:numCache>
                <c:formatCode>_-"$"* #,##0_-;\-"$"* #,##0_-;_-"$"* "-"??_-;_-@_-</c:formatCode>
                <c:ptCount val="2"/>
                <c:pt idx="0">
                  <c:v>#N/A</c:v>
                </c:pt>
              </c:numCache>
            </c:numRef>
          </c:val>
          <c:extLst>
            <c:ext xmlns:c16="http://schemas.microsoft.com/office/drawing/2014/chart" uri="{C3380CC4-5D6E-409C-BE32-E72D297353CC}">
              <c16:uniqueId val="{00000003-E920-41A5-85D5-864F06657AE1}"/>
            </c:ext>
          </c:extLst>
        </c:ser>
        <c:ser>
          <c:idx val="3"/>
          <c:order val="3"/>
          <c:tx>
            <c:strRef>
              <c:f>'Tool Calc Sheet'!$B$222</c:f>
              <c:strCache>
                <c:ptCount val="1"/>
                <c:pt idx="0">
                  <c:v>Labels</c:v>
                </c:pt>
              </c:strCache>
            </c:strRef>
          </c:tx>
          <c:spPr>
            <a:noFill/>
            <a:ln>
              <a:noFill/>
            </a:ln>
            <a:effectLst/>
          </c:spPr>
          <c:invertIfNegative val="0"/>
          <c:dLbls>
            <c:dLbl>
              <c:idx val="0"/>
              <c:layout>
                <c:manualLayout>
                  <c:x val="0.25367060724354096"/>
                  <c:y val="0"/>
                </c:manualLayout>
              </c:layout>
              <c:tx>
                <c:rich>
                  <a:bodyPr/>
                  <a:lstStyle/>
                  <a:p>
                    <a:fld id="{571D4D99-D95D-4767-86A3-03200BAA64F6}" type="CELLRANGE">
                      <a:rPr lang="en-US"/>
                      <a:pPr/>
                      <a:t>[CELLRANGE]</a:t>
                    </a:fld>
                    <a:endParaRPr lang="en-CA"/>
                  </a:p>
                </c:rich>
              </c:tx>
              <c:dLblPos val="ctr"/>
              <c:showLegendKey val="0"/>
              <c:showVal val="0"/>
              <c:showCatName val="0"/>
              <c:showSerName val="0"/>
              <c:showPercent val="0"/>
              <c:showBubbleSize val="0"/>
              <c:extLst>
                <c:ext xmlns:c15="http://schemas.microsoft.com/office/drawing/2012/chart" uri="{CE6537A1-D6FC-4f65-9D91-7224C49458BB}">
                  <c15:layout>
                    <c:manualLayout>
                      <c:w val="0.38575238011875729"/>
                      <c:h val="0.44044255666329474"/>
                    </c:manualLayout>
                  </c15:layout>
                  <c15:dlblFieldTable/>
                  <c15:showDataLabelsRange val="1"/>
                </c:ext>
                <c:ext xmlns:c16="http://schemas.microsoft.com/office/drawing/2014/chart" uri="{C3380CC4-5D6E-409C-BE32-E72D297353CC}">
                  <c16:uniqueId val="{00000004-E920-41A5-85D5-864F06657AE1}"/>
                </c:ext>
              </c:extLst>
            </c:dLbl>
            <c:dLbl>
              <c:idx val="1"/>
              <c:tx>
                <c:rich>
                  <a:bodyPr/>
                  <a:lstStyle/>
                  <a:p>
                    <a:fld id="{93921E17-2F97-4C2F-BA70-9FF94D0686B4}" type="CELLRANGE">
                      <a:rPr lang="en-CA"/>
                      <a:pPr/>
                      <a:t>[CELLRANGE]</a:t>
                    </a:fld>
                    <a:endParaRPr lang="en-CA"/>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E920-41A5-85D5-864F06657AE1}"/>
                </c:ext>
              </c:extLst>
            </c:dLbl>
            <c:spPr>
              <a:noFill/>
              <a:ln>
                <a:noFill/>
              </a:ln>
              <a:effectLst/>
            </c:spPr>
            <c:txPr>
              <a:bodyPr rot="0" spcFirstLastPara="1" vertOverflow="ellipsis" vert="horz" wrap="square" lIns="38100" tIns="19050" rIns="38100" bIns="19050" anchor="ctr" anchorCtr="0">
                <a:spAutoFit/>
              </a:bodyPr>
              <a:lstStyle/>
              <a:p>
                <a:pPr algn="l">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'Tool Calc Sheet'!$C$217:$D$217</c:f>
              <c:strCache>
                <c:ptCount val="2"/>
                <c:pt idx="0">
                  <c:v> Retrofit Measure </c:v>
                </c:pt>
                <c:pt idx="1">
                  <c:v>Business as Usual</c:v>
                </c:pt>
              </c:strCache>
            </c:strRef>
          </c:cat>
          <c:val>
            <c:numRef>
              <c:f>'Tool Calc Sheet'!$C$222:$D$222</c:f>
              <c:numCache>
                <c:formatCode>_-* #,##0_-;\-* #,##0_-;_-* "-"??_-;_-@_-</c:formatCode>
                <c:ptCount val="2"/>
                <c:pt idx="0">
                  <c:v>1</c:v>
                </c:pt>
                <c:pt idx="1">
                  <c:v>1</c:v>
                </c:pt>
              </c:numCache>
            </c:numRef>
          </c:val>
          <c:extLst>
            <c:ext xmlns:c15="http://schemas.microsoft.com/office/drawing/2012/chart" uri="{02D57815-91ED-43cb-92C2-25804820EDAC}">
              <c15:datalabelsRange>
                <c15:f>'Tool Calc Sheet'!$C$223:$D$223</c15:f>
                <c15:dlblRangeCache>
                  <c:ptCount val="2"/>
                  <c:pt idx="0">
                    <c:v>#N/A</c:v>
                  </c:pt>
                  <c:pt idx="1">
                    <c:v>#N/A</c:v>
                  </c:pt>
                </c15:dlblRangeCache>
              </c15:datalabelsRange>
            </c:ext>
            <c:ext xmlns:c16="http://schemas.microsoft.com/office/drawing/2014/chart" uri="{C3380CC4-5D6E-409C-BE32-E72D297353CC}">
              <c16:uniqueId val="{00000006-E920-41A5-85D5-864F06657AE1}"/>
            </c:ext>
          </c:extLst>
        </c:ser>
        <c:dLbls>
          <c:showLegendKey val="0"/>
          <c:showVal val="0"/>
          <c:showCatName val="0"/>
          <c:showSerName val="0"/>
          <c:showPercent val="0"/>
          <c:showBubbleSize val="0"/>
        </c:dLbls>
        <c:gapWidth val="0"/>
        <c:overlap val="100"/>
        <c:axId val="1730360735"/>
        <c:axId val="1730350175"/>
      </c:barChart>
      <c:catAx>
        <c:axId val="1730360735"/>
        <c:scaling>
          <c:orientation val="minMax"/>
        </c:scaling>
        <c:delete val="1"/>
        <c:axPos val="l"/>
        <c:numFmt formatCode="General" sourceLinked="1"/>
        <c:majorTickMark val="none"/>
        <c:minorTickMark val="none"/>
        <c:tickLblPos val="nextTo"/>
        <c:crossAx val="1730350175"/>
        <c:crosses val="autoZero"/>
        <c:auto val="1"/>
        <c:lblAlgn val="ctr"/>
        <c:lblOffset val="100"/>
        <c:noMultiLvlLbl val="0"/>
      </c:catAx>
      <c:valAx>
        <c:axId val="1730350175"/>
        <c:scaling>
          <c:orientation val="minMax"/>
        </c:scaling>
        <c:delete val="1"/>
        <c:axPos val="b"/>
        <c:majorGridlines>
          <c:spPr>
            <a:ln w="9525" cap="flat" cmpd="sng" algn="ctr">
              <a:noFill/>
              <a:round/>
            </a:ln>
            <a:effectLst/>
          </c:spPr>
        </c:majorGridlines>
        <c:numFmt formatCode="_-&quot;$&quot;* #,##0_-;\-&quot;$&quot;* #,##0_-;_-&quot;$&quot;* &quot;-&quot;??_-;_-@_-" sourceLinked="1"/>
        <c:majorTickMark val="none"/>
        <c:minorTickMark val="none"/>
        <c:tickLblPos val="nextTo"/>
        <c:crossAx val="17303607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8205128205128206E-2"/>
          <c:y val="8.1255747375474252E-2"/>
          <c:w val="0.642417857731161"/>
          <c:h val="0.85831723373339064"/>
        </c:manualLayout>
      </c:layout>
      <c:barChart>
        <c:barDir val="bar"/>
        <c:grouping val="stacked"/>
        <c:varyColors val="0"/>
        <c:ser>
          <c:idx val="0"/>
          <c:order val="0"/>
          <c:tx>
            <c:strRef>
              <c:f>'Tool Calc Sheet'!$B$227</c:f>
              <c:strCache>
                <c:ptCount val="1"/>
                <c:pt idx="0">
                  <c:v>Business as Usual</c:v>
                </c:pt>
              </c:strCache>
            </c:strRef>
          </c:tx>
          <c:spPr>
            <a:solidFill>
              <a:schemeClr val="bg1">
                <a:lumMod val="75000"/>
              </a:schemeClr>
            </a:solidFill>
            <a:ln>
              <a:noFill/>
            </a:ln>
            <a:effectLst/>
          </c:spPr>
          <c:invertIfNegative val="0"/>
          <c:cat>
            <c:strRef>
              <c:f>'Tool Calc Sheet'!$C$226:$D$226</c:f>
              <c:strCache>
                <c:ptCount val="2"/>
                <c:pt idx="0">
                  <c:v> Retrofit Measure </c:v>
                </c:pt>
                <c:pt idx="1">
                  <c:v>Business as Usual</c:v>
                </c:pt>
              </c:strCache>
            </c:strRef>
          </c:cat>
          <c:val>
            <c:numRef>
              <c:f>'Tool Calc Sheet'!$C$227:$D$227</c:f>
              <c:numCache>
                <c:formatCode>_-"$"* #,##0_-;\-"$"* #,##0_-;_-"$"* "-"??_-;_-@_-</c:formatCode>
                <c:ptCount val="2"/>
                <c:pt idx="1">
                  <c:v>#N/A</c:v>
                </c:pt>
              </c:numCache>
            </c:numRef>
          </c:val>
          <c:extLst>
            <c:ext xmlns:c16="http://schemas.microsoft.com/office/drawing/2014/chart" uri="{C3380CC4-5D6E-409C-BE32-E72D297353CC}">
              <c16:uniqueId val="{00000001-809F-48FA-BF08-92598408261D}"/>
            </c:ext>
          </c:extLst>
        </c:ser>
        <c:ser>
          <c:idx val="1"/>
          <c:order val="1"/>
          <c:tx>
            <c:strRef>
              <c:f>'Tool Calc Sheet'!$B$228</c:f>
              <c:strCache>
                <c:ptCount val="1"/>
                <c:pt idx="0">
                  <c:v>Proposed - LOW</c:v>
                </c:pt>
              </c:strCache>
            </c:strRef>
          </c:tx>
          <c:spPr>
            <a:solidFill>
              <a:srgbClr val="015A84"/>
            </a:solidFill>
            <a:ln>
              <a:noFill/>
            </a:ln>
            <a:effectLst/>
          </c:spPr>
          <c:invertIfNegative val="0"/>
          <c:cat>
            <c:strRef>
              <c:f>'Tool Calc Sheet'!$C$226:$D$226</c:f>
              <c:strCache>
                <c:ptCount val="2"/>
                <c:pt idx="0">
                  <c:v> Retrofit Measure </c:v>
                </c:pt>
                <c:pt idx="1">
                  <c:v>Business as Usual</c:v>
                </c:pt>
              </c:strCache>
            </c:strRef>
          </c:cat>
          <c:val>
            <c:numRef>
              <c:f>'Tool Calc Sheet'!$C$228:$D$228</c:f>
              <c:numCache>
                <c:formatCode>_-"$"* #,##0_-;\-"$"* #,##0_-;_-"$"* "-"??_-;_-@_-</c:formatCode>
                <c:ptCount val="2"/>
                <c:pt idx="0">
                  <c:v>#N/A</c:v>
                </c:pt>
              </c:numCache>
            </c:numRef>
          </c:val>
          <c:extLst>
            <c:ext xmlns:c16="http://schemas.microsoft.com/office/drawing/2014/chart" uri="{C3380CC4-5D6E-409C-BE32-E72D297353CC}">
              <c16:uniqueId val="{00000002-809F-48FA-BF08-92598408261D}"/>
            </c:ext>
          </c:extLst>
        </c:ser>
        <c:ser>
          <c:idx val="2"/>
          <c:order val="2"/>
          <c:tx>
            <c:strRef>
              <c:f>'Tool Calc Sheet'!$B$229</c:f>
              <c:strCache>
                <c:ptCount val="1"/>
                <c:pt idx="0">
                  <c:v>Proposed - HIGH - Difference</c:v>
                </c:pt>
              </c:strCache>
            </c:strRef>
          </c:tx>
          <c:spPr>
            <a:pattFill prst="dkDnDiag">
              <a:fgClr>
                <a:srgbClr val="015A84"/>
              </a:fgClr>
              <a:bgClr>
                <a:schemeClr val="bg1"/>
              </a:bgClr>
            </a:pattFill>
            <a:ln>
              <a:noFill/>
            </a:ln>
            <a:effectLst/>
          </c:spPr>
          <c:invertIfNegative val="0"/>
          <c:cat>
            <c:strRef>
              <c:f>'Tool Calc Sheet'!$C$226:$D$226</c:f>
              <c:strCache>
                <c:ptCount val="2"/>
                <c:pt idx="0">
                  <c:v> Retrofit Measure </c:v>
                </c:pt>
                <c:pt idx="1">
                  <c:v>Business as Usual</c:v>
                </c:pt>
              </c:strCache>
            </c:strRef>
          </c:cat>
          <c:val>
            <c:numRef>
              <c:f>'Tool Calc Sheet'!$C$229:$D$229</c:f>
              <c:numCache>
                <c:formatCode>_-"$"* #,##0_-;\-"$"* #,##0_-;_-"$"* "-"??_-;_-@_-</c:formatCode>
                <c:ptCount val="2"/>
                <c:pt idx="0">
                  <c:v>#N/A</c:v>
                </c:pt>
              </c:numCache>
            </c:numRef>
          </c:val>
          <c:extLst>
            <c:ext xmlns:c16="http://schemas.microsoft.com/office/drawing/2014/chart" uri="{C3380CC4-5D6E-409C-BE32-E72D297353CC}">
              <c16:uniqueId val="{00000003-809F-48FA-BF08-92598408261D}"/>
            </c:ext>
          </c:extLst>
        </c:ser>
        <c:ser>
          <c:idx val="3"/>
          <c:order val="3"/>
          <c:tx>
            <c:strRef>
              <c:f>'Tool Calc Sheet'!$B$231</c:f>
              <c:strCache>
                <c:ptCount val="1"/>
                <c:pt idx="0">
                  <c:v>Labels</c:v>
                </c:pt>
              </c:strCache>
            </c:strRef>
          </c:tx>
          <c:spPr>
            <a:noFill/>
            <a:ln>
              <a:noFill/>
            </a:ln>
            <a:effectLst/>
          </c:spPr>
          <c:invertIfNegative val="0"/>
          <c:dLbls>
            <c:dLbl>
              <c:idx val="0"/>
              <c:tx>
                <c:rich>
                  <a:bodyPr/>
                  <a:lstStyle/>
                  <a:p>
                    <a:fld id="{C0115456-B06E-4489-973D-C1B5A8720C19}" type="CELLRANGE">
                      <a:rPr lang="en-US"/>
                      <a:pPr/>
                      <a:t>[CELLRANGE]</a:t>
                    </a:fld>
                    <a:endParaRPr lang="en-CA"/>
                  </a:p>
                </c:rich>
              </c:tx>
              <c:dLblPos val="inBase"/>
              <c:showLegendKey val="0"/>
              <c:showVal val="0"/>
              <c:showCatName val="0"/>
              <c:showSerName val="0"/>
              <c:showPercent val="0"/>
              <c:showBubbleSize val="0"/>
              <c:extLst>
                <c:ext xmlns:c15="http://schemas.microsoft.com/office/drawing/2012/chart" uri="{CE6537A1-D6FC-4f65-9D91-7224C49458BB}">
                  <c15:layout>
                    <c:manualLayout>
                      <c:w val="0.33478433614327491"/>
                      <c:h val="0.44044305555555557"/>
                    </c:manualLayout>
                  </c15:layout>
                  <c15:dlblFieldTable/>
                  <c15:showDataLabelsRange val="1"/>
                </c:ext>
                <c:ext xmlns:c16="http://schemas.microsoft.com/office/drawing/2014/chart" uri="{C3380CC4-5D6E-409C-BE32-E72D297353CC}">
                  <c16:uniqueId val="{00000004-809F-48FA-BF08-92598408261D}"/>
                </c:ext>
              </c:extLst>
            </c:dLbl>
            <c:dLbl>
              <c:idx val="1"/>
              <c:tx>
                <c:rich>
                  <a:bodyPr/>
                  <a:lstStyle/>
                  <a:p>
                    <a:fld id="{41753B51-C2C8-4763-B4F8-72E57BE26104}" type="CELLRANGE">
                      <a:rPr lang="en-CA"/>
                      <a:pPr/>
                      <a:t>[CELLRANGE]</a:t>
                    </a:fld>
                    <a:endParaRPr lang="en-CA"/>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809F-48FA-BF08-92598408261D}"/>
                </c:ext>
              </c:extLst>
            </c:dLbl>
            <c:spPr>
              <a:noFill/>
              <a:ln>
                <a:noFill/>
              </a:ln>
              <a:effectLst/>
            </c:spPr>
            <c:txPr>
              <a:bodyPr rot="0" spcFirstLastPara="1" vertOverflow="ellipsis" vert="horz" wrap="square" lIns="38100" tIns="19050" rIns="38100" bIns="19050" anchor="ctr" anchorCtr="0">
                <a:spAutoFit/>
              </a:bodyPr>
              <a:lstStyle/>
              <a:p>
                <a:pPr algn="l">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'Tool Calc Sheet'!$C$226:$D$226</c:f>
              <c:strCache>
                <c:ptCount val="2"/>
                <c:pt idx="0">
                  <c:v> Retrofit Measure </c:v>
                </c:pt>
                <c:pt idx="1">
                  <c:v>Business as Usual</c:v>
                </c:pt>
              </c:strCache>
            </c:strRef>
          </c:cat>
          <c:val>
            <c:numRef>
              <c:f>'Tool Calc Sheet'!$C$231:$D$231</c:f>
              <c:numCache>
                <c:formatCode>_-* #,##0_-;\-* #,##0_-;_-* "-"??_-;_-@_-</c:formatCode>
                <c:ptCount val="2"/>
                <c:pt idx="0">
                  <c:v>1</c:v>
                </c:pt>
                <c:pt idx="1">
                  <c:v>1</c:v>
                </c:pt>
              </c:numCache>
            </c:numRef>
          </c:val>
          <c:extLst>
            <c:ext xmlns:c15="http://schemas.microsoft.com/office/drawing/2012/chart" uri="{02D57815-91ED-43cb-92C2-25804820EDAC}">
              <c15:datalabelsRange>
                <c15:f>'Tool Calc Sheet'!$C$232:$D$232</c15:f>
                <c15:dlblRangeCache>
                  <c:ptCount val="2"/>
                  <c:pt idx="0">
                    <c:v>#N/A</c:v>
                  </c:pt>
                  <c:pt idx="1">
                    <c:v>#N/A</c:v>
                  </c:pt>
                </c15:dlblRangeCache>
              </c15:datalabelsRange>
            </c:ext>
            <c:ext xmlns:c16="http://schemas.microsoft.com/office/drawing/2014/chart" uri="{C3380CC4-5D6E-409C-BE32-E72D297353CC}">
              <c16:uniqueId val="{00000006-809F-48FA-BF08-92598408261D}"/>
            </c:ext>
          </c:extLst>
        </c:ser>
        <c:dLbls>
          <c:showLegendKey val="0"/>
          <c:showVal val="0"/>
          <c:showCatName val="0"/>
          <c:showSerName val="0"/>
          <c:showPercent val="0"/>
          <c:showBubbleSize val="0"/>
        </c:dLbls>
        <c:gapWidth val="0"/>
        <c:overlap val="100"/>
        <c:axId val="1730360735"/>
        <c:axId val="1730350175"/>
      </c:barChart>
      <c:catAx>
        <c:axId val="1730360735"/>
        <c:scaling>
          <c:orientation val="minMax"/>
        </c:scaling>
        <c:delete val="1"/>
        <c:axPos val="l"/>
        <c:numFmt formatCode="General" sourceLinked="1"/>
        <c:majorTickMark val="none"/>
        <c:minorTickMark val="none"/>
        <c:tickLblPos val="nextTo"/>
        <c:crossAx val="1730350175"/>
        <c:crosses val="autoZero"/>
        <c:auto val="1"/>
        <c:lblAlgn val="ctr"/>
        <c:lblOffset val="100"/>
        <c:noMultiLvlLbl val="0"/>
      </c:catAx>
      <c:valAx>
        <c:axId val="1730350175"/>
        <c:scaling>
          <c:orientation val="minMax"/>
        </c:scaling>
        <c:delete val="1"/>
        <c:axPos val="b"/>
        <c:majorGridlines>
          <c:spPr>
            <a:ln w="9525" cap="flat" cmpd="sng" algn="ctr">
              <a:noFill/>
              <a:round/>
            </a:ln>
            <a:effectLst/>
          </c:spPr>
        </c:majorGridlines>
        <c:numFmt formatCode="_-&quot;$&quot;* #,##0_-;\-&quot;$&quot;* #,##0_-;_-&quot;$&quot;* &quot;-&quot;??_-;_-@_-" sourceLinked="1"/>
        <c:majorTickMark val="none"/>
        <c:minorTickMark val="none"/>
        <c:tickLblPos val="nextTo"/>
        <c:crossAx val="17303607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8205128205128206E-2"/>
          <c:y val="8.1255747375474252E-2"/>
          <c:w val="0.63907423242927308"/>
          <c:h val="0.85831723373339064"/>
        </c:manualLayout>
      </c:layout>
      <c:barChart>
        <c:barDir val="bar"/>
        <c:grouping val="stacked"/>
        <c:varyColors val="0"/>
        <c:ser>
          <c:idx val="0"/>
          <c:order val="0"/>
          <c:tx>
            <c:strRef>
              <c:f>'Tool Calc Sheet'!$B$236</c:f>
              <c:strCache>
                <c:ptCount val="1"/>
                <c:pt idx="0">
                  <c:v>Business as Usual</c:v>
                </c:pt>
              </c:strCache>
            </c:strRef>
          </c:tx>
          <c:spPr>
            <a:solidFill>
              <a:schemeClr val="bg1">
                <a:lumMod val="75000"/>
              </a:schemeClr>
            </a:solidFill>
            <a:ln>
              <a:noFill/>
            </a:ln>
            <a:effectLst/>
          </c:spPr>
          <c:invertIfNegative val="0"/>
          <c:cat>
            <c:strRef>
              <c:f>'Tool Calc Sheet'!$C$235:$D$235</c:f>
              <c:strCache>
                <c:ptCount val="2"/>
                <c:pt idx="0">
                  <c:v> Retrofit Measure </c:v>
                </c:pt>
                <c:pt idx="1">
                  <c:v>Business as Usual</c:v>
                </c:pt>
              </c:strCache>
            </c:strRef>
          </c:cat>
          <c:val>
            <c:numRef>
              <c:f>'Tool Calc Sheet'!$C$236:$D$236</c:f>
              <c:numCache>
                <c:formatCode>_-"$"* #,##0_-;\-"$"* #,##0_-;_-"$"* "-"??_-;_-@_-</c:formatCode>
                <c:ptCount val="2"/>
                <c:pt idx="1">
                  <c:v>#N/A</c:v>
                </c:pt>
              </c:numCache>
            </c:numRef>
          </c:val>
          <c:extLst>
            <c:ext xmlns:c16="http://schemas.microsoft.com/office/drawing/2014/chart" uri="{C3380CC4-5D6E-409C-BE32-E72D297353CC}">
              <c16:uniqueId val="{00000001-9F6F-451B-A42E-4C3D4D2F3211}"/>
            </c:ext>
          </c:extLst>
        </c:ser>
        <c:ser>
          <c:idx val="1"/>
          <c:order val="1"/>
          <c:tx>
            <c:strRef>
              <c:f>'Tool Calc Sheet'!$B$237</c:f>
              <c:strCache>
                <c:ptCount val="1"/>
                <c:pt idx="0">
                  <c:v>Proposed - LOW</c:v>
                </c:pt>
              </c:strCache>
            </c:strRef>
          </c:tx>
          <c:spPr>
            <a:solidFill>
              <a:srgbClr val="015A84"/>
            </a:solidFill>
            <a:ln>
              <a:noFill/>
            </a:ln>
            <a:effectLst/>
          </c:spPr>
          <c:invertIfNegative val="0"/>
          <c:cat>
            <c:strRef>
              <c:f>'Tool Calc Sheet'!$C$235:$D$235</c:f>
              <c:strCache>
                <c:ptCount val="2"/>
                <c:pt idx="0">
                  <c:v> Retrofit Measure </c:v>
                </c:pt>
                <c:pt idx="1">
                  <c:v>Business as Usual</c:v>
                </c:pt>
              </c:strCache>
            </c:strRef>
          </c:cat>
          <c:val>
            <c:numRef>
              <c:f>'Tool Calc Sheet'!$C$237:$D$237</c:f>
              <c:numCache>
                <c:formatCode>_-"$"* #,##0_-;\-"$"* #,##0_-;_-"$"* "-"??_-;_-@_-</c:formatCode>
                <c:ptCount val="2"/>
                <c:pt idx="0">
                  <c:v>#N/A</c:v>
                </c:pt>
              </c:numCache>
            </c:numRef>
          </c:val>
          <c:extLst>
            <c:ext xmlns:c16="http://schemas.microsoft.com/office/drawing/2014/chart" uri="{C3380CC4-5D6E-409C-BE32-E72D297353CC}">
              <c16:uniqueId val="{00000002-9F6F-451B-A42E-4C3D4D2F3211}"/>
            </c:ext>
          </c:extLst>
        </c:ser>
        <c:ser>
          <c:idx val="2"/>
          <c:order val="2"/>
          <c:tx>
            <c:strRef>
              <c:f>'Tool Calc Sheet'!$B$238</c:f>
              <c:strCache>
                <c:ptCount val="1"/>
                <c:pt idx="0">
                  <c:v>Proposed - HIGH - Difference</c:v>
                </c:pt>
              </c:strCache>
            </c:strRef>
          </c:tx>
          <c:spPr>
            <a:pattFill prst="dkDnDiag">
              <a:fgClr>
                <a:srgbClr val="015A84"/>
              </a:fgClr>
              <a:bgClr>
                <a:schemeClr val="bg1"/>
              </a:bgClr>
            </a:pattFill>
            <a:ln>
              <a:noFill/>
            </a:ln>
            <a:effectLst/>
          </c:spPr>
          <c:invertIfNegative val="0"/>
          <c:cat>
            <c:strRef>
              <c:f>'Tool Calc Sheet'!$C$235:$D$235</c:f>
              <c:strCache>
                <c:ptCount val="2"/>
                <c:pt idx="0">
                  <c:v> Retrofit Measure </c:v>
                </c:pt>
                <c:pt idx="1">
                  <c:v>Business as Usual</c:v>
                </c:pt>
              </c:strCache>
            </c:strRef>
          </c:cat>
          <c:val>
            <c:numRef>
              <c:f>'Tool Calc Sheet'!$C$238:$D$238</c:f>
              <c:numCache>
                <c:formatCode>_-"$"* #,##0_-;\-"$"* #,##0_-;_-"$"* "-"??_-;_-@_-</c:formatCode>
                <c:ptCount val="2"/>
                <c:pt idx="0">
                  <c:v>#N/A</c:v>
                </c:pt>
              </c:numCache>
            </c:numRef>
          </c:val>
          <c:extLst>
            <c:ext xmlns:c16="http://schemas.microsoft.com/office/drawing/2014/chart" uri="{C3380CC4-5D6E-409C-BE32-E72D297353CC}">
              <c16:uniqueId val="{00000003-9F6F-451B-A42E-4C3D4D2F3211}"/>
            </c:ext>
          </c:extLst>
        </c:ser>
        <c:ser>
          <c:idx val="3"/>
          <c:order val="3"/>
          <c:tx>
            <c:strRef>
              <c:f>'Tool Calc Sheet'!$B$240</c:f>
              <c:strCache>
                <c:ptCount val="1"/>
                <c:pt idx="0">
                  <c:v>Labels</c:v>
                </c:pt>
              </c:strCache>
            </c:strRef>
          </c:tx>
          <c:spPr>
            <a:noFill/>
            <a:ln>
              <a:noFill/>
            </a:ln>
            <a:effectLst/>
          </c:spPr>
          <c:invertIfNegative val="0"/>
          <c:dLbls>
            <c:dLbl>
              <c:idx val="0"/>
              <c:tx>
                <c:rich>
                  <a:bodyPr/>
                  <a:lstStyle/>
                  <a:p>
                    <a:fld id="{6946176E-EFAE-4C56-9F7B-32244ABB6634}" type="CELLRANGE">
                      <a:rPr lang="en-US"/>
                      <a:pPr/>
                      <a:t>[CELLRANGE]</a:t>
                    </a:fld>
                    <a:endParaRPr lang="en-CA"/>
                  </a:p>
                </c:rich>
              </c:tx>
              <c:dLblPos val="inBase"/>
              <c:showLegendKey val="0"/>
              <c:showVal val="0"/>
              <c:showCatName val="0"/>
              <c:showSerName val="0"/>
              <c:showPercent val="0"/>
              <c:showBubbleSize val="0"/>
              <c:extLst>
                <c:ext xmlns:c15="http://schemas.microsoft.com/office/drawing/2012/chart" uri="{CE6537A1-D6FC-4f65-9D91-7224C49458BB}">
                  <c15:layout>
                    <c:manualLayout>
                      <c:w val="0.2820589344488682"/>
                      <c:h val="0.44044305555555557"/>
                    </c:manualLayout>
                  </c15:layout>
                  <c15:dlblFieldTable/>
                  <c15:showDataLabelsRange val="1"/>
                </c:ext>
                <c:ext xmlns:c16="http://schemas.microsoft.com/office/drawing/2014/chart" uri="{C3380CC4-5D6E-409C-BE32-E72D297353CC}">
                  <c16:uniqueId val="{00000004-9F6F-451B-A42E-4C3D4D2F3211}"/>
                </c:ext>
              </c:extLst>
            </c:dLbl>
            <c:dLbl>
              <c:idx val="1"/>
              <c:tx>
                <c:rich>
                  <a:bodyPr/>
                  <a:lstStyle/>
                  <a:p>
                    <a:fld id="{25DDF78C-07FD-4425-A489-C7B97C3065B3}" type="CELLRANGE">
                      <a:rPr lang="en-CA"/>
                      <a:pPr/>
                      <a:t>[CELLRANGE]</a:t>
                    </a:fld>
                    <a:endParaRPr lang="en-CA"/>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9F6F-451B-A42E-4C3D4D2F3211}"/>
                </c:ext>
              </c:extLst>
            </c:dLbl>
            <c:spPr>
              <a:noFill/>
              <a:ln>
                <a:noFill/>
              </a:ln>
              <a:effectLst/>
            </c:spPr>
            <c:txPr>
              <a:bodyPr rot="0" spcFirstLastPara="1" vertOverflow="ellipsis" vert="horz" wrap="square" lIns="38100" tIns="19050" rIns="38100" bIns="19050" anchor="ctr" anchorCtr="0">
                <a:spAutoFit/>
              </a:bodyPr>
              <a:lstStyle/>
              <a:p>
                <a:pPr algn="l">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'Tool Calc Sheet'!$C$235:$D$235</c:f>
              <c:strCache>
                <c:ptCount val="2"/>
                <c:pt idx="0">
                  <c:v> Retrofit Measure </c:v>
                </c:pt>
                <c:pt idx="1">
                  <c:v>Business as Usual</c:v>
                </c:pt>
              </c:strCache>
            </c:strRef>
          </c:cat>
          <c:val>
            <c:numRef>
              <c:f>'Tool Calc Sheet'!$C$240:$D$240</c:f>
              <c:numCache>
                <c:formatCode>_-* #,##0_-;\-* #,##0_-;_-* "-"??_-;_-@_-</c:formatCode>
                <c:ptCount val="2"/>
                <c:pt idx="0">
                  <c:v>1</c:v>
                </c:pt>
                <c:pt idx="1">
                  <c:v>1</c:v>
                </c:pt>
              </c:numCache>
            </c:numRef>
          </c:val>
          <c:extLst>
            <c:ext xmlns:c15="http://schemas.microsoft.com/office/drawing/2012/chart" uri="{02D57815-91ED-43cb-92C2-25804820EDAC}">
              <c15:datalabelsRange>
                <c15:f>'Tool Calc Sheet'!$C$241:$D$241</c15:f>
                <c15:dlblRangeCache>
                  <c:ptCount val="2"/>
                  <c:pt idx="0">
                    <c:v>#N/A</c:v>
                  </c:pt>
                  <c:pt idx="1">
                    <c:v>#N/A</c:v>
                  </c:pt>
                </c15:dlblRangeCache>
              </c15:datalabelsRange>
            </c:ext>
            <c:ext xmlns:c16="http://schemas.microsoft.com/office/drawing/2014/chart" uri="{C3380CC4-5D6E-409C-BE32-E72D297353CC}">
              <c16:uniqueId val="{00000006-9F6F-451B-A42E-4C3D4D2F3211}"/>
            </c:ext>
          </c:extLst>
        </c:ser>
        <c:dLbls>
          <c:showLegendKey val="0"/>
          <c:showVal val="0"/>
          <c:showCatName val="0"/>
          <c:showSerName val="0"/>
          <c:showPercent val="0"/>
          <c:showBubbleSize val="0"/>
        </c:dLbls>
        <c:gapWidth val="0"/>
        <c:overlap val="100"/>
        <c:axId val="1730360735"/>
        <c:axId val="1730350175"/>
      </c:barChart>
      <c:catAx>
        <c:axId val="1730360735"/>
        <c:scaling>
          <c:orientation val="minMax"/>
        </c:scaling>
        <c:delete val="1"/>
        <c:axPos val="l"/>
        <c:numFmt formatCode="General" sourceLinked="1"/>
        <c:majorTickMark val="none"/>
        <c:minorTickMark val="none"/>
        <c:tickLblPos val="nextTo"/>
        <c:crossAx val="1730350175"/>
        <c:crosses val="autoZero"/>
        <c:auto val="1"/>
        <c:lblAlgn val="ctr"/>
        <c:lblOffset val="100"/>
        <c:noMultiLvlLbl val="0"/>
      </c:catAx>
      <c:valAx>
        <c:axId val="1730350175"/>
        <c:scaling>
          <c:orientation val="minMax"/>
        </c:scaling>
        <c:delete val="1"/>
        <c:axPos val="b"/>
        <c:majorGridlines>
          <c:spPr>
            <a:ln w="9525" cap="flat" cmpd="sng" algn="ctr">
              <a:noFill/>
              <a:round/>
            </a:ln>
            <a:effectLst/>
          </c:spPr>
        </c:majorGridlines>
        <c:numFmt formatCode="_-&quot;$&quot;* #,##0_-;\-&quot;$&quot;* #,##0_-;_-&quot;$&quot;* &quot;-&quot;??_-;_-@_-" sourceLinked="1"/>
        <c:majorTickMark val="none"/>
        <c:minorTickMark val="none"/>
        <c:tickLblPos val="nextTo"/>
        <c:crossAx val="17303607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chart" Target="../charts/chart1.xml"/><Relationship Id="rId1" Type="http://schemas.openxmlformats.org/officeDocument/2006/relationships/image" Target="../media/image3.png"/><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xdr:col>
      <xdr:colOff>57149</xdr:colOff>
      <xdr:row>27</xdr:row>
      <xdr:rowOff>123825</xdr:rowOff>
    </xdr:from>
    <xdr:to>
      <xdr:col>18</xdr:col>
      <xdr:colOff>0</xdr:colOff>
      <xdr:row>31</xdr:row>
      <xdr:rowOff>171451</xdr:rowOff>
    </xdr:to>
    <xdr:pic>
      <xdr:nvPicPr>
        <xdr:cNvPr id="2" name="Picture 1">
          <a:extLst>
            <a:ext uri="{FF2B5EF4-FFF2-40B4-BE49-F238E27FC236}">
              <a16:creationId xmlns:a16="http://schemas.microsoft.com/office/drawing/2014/main" id="{00F15D3D-95D2-48E5-8F22-950DAA71A50A}"/>
            </a:ext>
          </a:extLst>
        </xdr:cNvPr>
        <xdr:cNvPicPr>
          <a:picLocks noChangeAspect="1"/>
        </xdr:cNvPicPr>
      </xdr:nvPicPr>
      <xdr:blipFill rotWithShape="1">
        <a:blip xmlns:r="http://schemas.openxmlformats.org/officeDocument/2006/relationships" r:embed="rId1"/>
        <a:srcRect l="1557" t="72320" r="886" b="2768"/>
        <a:stretch/>
      </xdr:blipFill>
      <xdr:spPr>
        <a:xfrm>
          <a:off x="666749" y="5772150"/>
          <a:ext cx="10306051" cy="771526"/>
        </a:xfrm>
        <a:prstGeom prst="rect">
          <a:avLst/>
        </a:prstGeom>
      </xdr:spPr>
    </xdr:pic>
    <xdr:clientData/>
  </xdr:twoCellAnchor>
  <xdr:twoCellAnchor editAs="oneCell">
    <xdr:from>
      <xdr:col>1</xdr:col>
      <xdr:colOff>190500</xdr:colOff>
      <xdr:row>12</xdr:row>
      <xdr:rowOff>161925</xdr:rowOff>
    </xdr:from>
    <xdr:to>
      <xdr:col>17</xdr:col>
      <xdr:colOff>306939</xdr:colOff>
      <xdr:row>27</xdr:row>
      <xdr:rowOff>76745</xdr:rowOff>
    </xdr:to>
    <xdr:pic>
      <xdr:nvPicPr>
        <xdr:cNvPr id="3" name="Picture 2">
          <a:extLst>
            <a:ext uri="{FF2B5EF4-FFF2-40B4-BE49-F238E27FC236}">
              <a16:creationId xmlns:a16="http://schemas.microsoft.com/office/drawing/2014/main" id="{813C6117-D51B-4637-A7E2-1A51AC1460AB}"/>
            </a:ext>
          </a:extLst>
        </xdr:cNvPr>
        <xdr:cNvPicPr>
          <a:picLocks noChangeAspect="1"/>
        </xdr:cNvPicPr>
      </xdr:nvPicPr>
      <xdr:blipFill>
        <a:blip xmlns:r="http://schemas.openxmlformats.org/officeDocument/2006/relationships" r:embed="rId2"/>
        <a:stretch>
          <a:fillRect/>
        </a:stretch>
      </xdr:blipFill>
      <xdr:spPr>
        <a:xfrm>
          <a:off x="800100" y="3095625"/>
          <a:ext cx="9870039" cy="26294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22</xdr:col>
      <xdr:colOff>29168</xdr:colOff>
      <xdr:row>2</xdr:row>
      <xdr:rowOff>119903</xdr:rowOff>
    </xdr:from>
    <xdr:to>
      <xdr:col>24</xdr:col>
      <xdr:colOff>29348</xdr:colOff>
      <xdr:row>4</xdr:row>
      <xdr:rowOff>47019</xdr:rowOff>
    </xdr:to>
    <xdr:pic>
      <xdr:nvPicPr>
        <xdr:cNvPr id="4" name="Picture 3">
          <a:extLst>
            <a:ext uri="{FF2B5EF4-FFF2-40B4-BE49-F238E27FC236}">
              <a16:creationId xmlns:a16="http://schemas.microsoft.com/office/drawing/2014/main" id="{68BE1BDB-0DF5-F56F-3165-8405503A9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0733803" y="500903"/>
          <a:ext cx="1571316" cy="523772"/>
        </a:xfrm>
        <a:prstGeom prst="rect">
          <a:avLst/>
        </a:prstGeom>
      </xdr:spPr>
    </xdr:pic>
    <xdr:clientData/>
  </xdr:twoCellAnchor>
  <xdr:twoCellAnchor editAs="oneCell">
    <xdr:from>
      <xdr:col>16</xdr:col>
      <xdr:colOff>57150</xdr:colOff>
      <xdr:row>56</xdr:row>
      <xdr:rowOff>3044</xdr:rowOff>
    </xdr:from>
    <xdr:to>
      <xdr:col>23</xdr:col>
      <xdr:colOff>1095001</xdr:colOff>
      <xdr:row>59</xdr:row>
      <xdr:rowOff>227744</xdr:rowOff>
    </xdr:to>
    <xdr:graphicFrame macro="">
      <xdr:nvGraphicFramePr>
        <xdr:cNvPr id="7" name="Chart 6">
          <a:extLst>
            <a:ext uri="{FF2B5EF4-FFF2-40B4-BE49-F238E27FC236}">
              <a16:creationId xmlns:a16="http://schemas.microsoft.com/office/drawing/2014/main" id="{BEFD9B4A-195C-4357-B8B3-BDEEE208D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16</xdr:col>
      <xdr:colOff>47625</xdr:colOff>
      <xdr:row>61</xdr:row>
      <xdr:rowOff>49695</xdr:rowOff>
    </xdr:from>
    <xdr:to>
      <xdr:col>23</xdr:col>
      <xdr:colOff>1123950</xdr:colOff>
      <xdr:row>65</xdr:row>
      <xdr:rowOff>74370</xdr:rowOff>
    </xdr:to>
    <xdr:graphicFrame macro="">
      <xdr:nvGraphicFramePr>
        <xdr:cNvPr id="10" name="Chart 9">
          <a:extLst>
            <a:ext uri="{FF2B5EF4-FFF2-40B4-BE49-F238E27FC236}">
              <a16:creationId xmlns:a16="http://schemas.microsoft.com/office/drawing/2014/main" id="{F35CD14B-EE3D-4531-9556-217F318F8E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16</xdr:col>
      <xdr:colOff>57150</xdr:colOff>
      <xdr:row>67</xdr:row>
      <xdr:rowOff>74543</xdr:rowOff>
    </xdr:from>
    <xdr:to>
      <xdr:col>23</xdr:col>
      <xdr:colOff>1095001</xdr:colOff>
      <xdr:row>71</xdr:row>
      <xdr:rowOff>29368</xdr:rowOff>
    </xdr:to>
    <xdr:graphicFrame macro="">
      <xdr:nvGraphicFramePr>
        <xdr:cNvPr id="11" name="Chart 10">
          <a:extLst>
            <a:ext uri="{FF2B5EF4-FFF2-40B4-BE49-F238E27FC236}">
              <a16:creationId xmlns:a16="http://schemas.microsoft.com/office/drawing/2014/main" id="{60787EDF-1810-4096-A8F0-D79C1EFB34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16</xdr:col>
      <xdr:colOff>57150</xdr:colOff>
      <xdr:row>73</xdr:row>
      <xdr:rowOff>16564</xdr:rowOff>
    </xdr:from>
    <xdr:to>
      <xdr:col>23</xdr:col>
      <xdr:colOff>1095001</xdr:colOff>
      <xdr:row>77</xdr:row>
      <xdr:rowOff>66638</xdr:rowOff>
    </xdr:to>
    <xdr:graphicFrame macro="">
      <xdr:nvGraphicFramePr>
        <xdr:cNvPr id="12" name="Chart 11">
          <a:extLst>
            <a:ext uri="{FF2B5EF4-FFF2-40B4-BE49-F238E27FC236}">
              <a16:creationId xmlns:a16="http://schemas.microsoft.com/office/drawing/2014/main" id="{7645D7B0-097C-4342-9237-DCB91BF8CF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16</xdr:col>
      <xdr:colOff>57150</xdr:colOff>
      <xdr:row>79</xdr:row>
      <xdr:rowOff>104774</xdr:rowOff>
    </xdr:from>
    <xdr:to>
      <xdr:col>23</xdr:col>
      <xdr:colOff>1112557</xdr:colOff>
      <xdr:row>83</xdr:row>
      <xdr:rowOff>142149</xdr:rowOff>
    </xdr:to>
    <xdr:graphicFrame macro="">
      <xdr:nvGraphicFramePr>
        <xdr:cNvPr id="13" name="Chart 12">
          <a:extLst>
            <a:ext uri="{FF2B5EF4-FFF2-40B4-BE49-F238E27FC236}">
              <a16:creationId xmlns:a16="http://schemas.microsoft.com/office/drawing/2014/main" id="{2F70672B-8688-4F5A-964C-5EC1F044F3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16</xdr:col>
      <xdr:colOff>47625</xdr:colOff>
      <xdr:row>86</xdr:row>
      <xdr:rowOff>123824</xdr:rowOff>
    </xdr:from>
    <xdr:to>
      <xdr:col>23</xdr:col>
      <xdr:colOff>1114238</xdr:colOff>
      <xdr:row>90</xdr:row>
      <xdr:rowOff>180250</xdr:rowOff>
    </xdr:to>
    <xdr:graphicFrame macro="">
      <xdr:nvGraphicFramePr>
        <xdr:cNvPr id="14" name="Chart 13">
          <a:extLst>
            <a:ext uri="{FF2B5EF4-FFF2-40B4-BE49-F238E27FC236}">
              <a16:creationId xmlns:a16="http://schemas.microsoft.com/office/drawing/2014/main" id="{A130FEED-8CDF-4F07-BA90-347728A40A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97320</xdr:colOff>
      <xdr:row>54</xdr:row>
      <xdr:rowOff>101463</xdr:rowOff>
    </xdr:from>
    <xdr:to>
      <xdr:col>13</xdr:col>
      <xdr:colOff>86552</xdr:colOff>
      <xdr:row>55</xdr:row>
      <xdr:rowOff>91938</xdr:rowOff>
    </xdr:to>
    <xdr:sp macro="" textlink="">
      <xdr:nvSpPr>
        <xdr:cNvPr id="21" name="Oval 20">
          <a:extLst>
            <a:ext uri="{FF2B5EF4-FFF2-40B4-BE49-F238E27FC236}">
              <a16:creationId xmlns:a16="http://schemas.microsoft.com/office/drawing/2014/main" id="{BC726FFA-D000-4EF2-A1FC-73CF1BBAAC37}"/>
            </a:ext>
          </a:extLst>
        </xdr:cNvPr>
        <xdr:cNvSpPr/>
      </xdr:nvSpPr>
      <xdr:spPr>
        <a:xfrm>
          <a:off x="5555559" y="9982615"/>
          <a:ext cx="171450" cy="180975"/>
        </a:xfrm>
        <a:prstGeom prst="ellipse">
          <a:avLst/>
        </a:prstGeom>
        <a:solidFill>
          <a:srgbClr val="F0F8F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180000" rtlCol="0" anchor="t"/>
        <a:lstStyle/>
        <a:p>
          <a:pPr algn="ctr"/>
          <a:endParaRPr lang="en-CA" sz="1100" b="1"/>
        </a:p>
      </xdr:txBody>
    </xdr:sp>
    <xdr:clientData/>
  </xdr:twoCellAnchor>
  <xdr:twoCellAnchor>
    <xdr:from>
      <xdr:col>13</xdr:col>
      <xdr:colOff>50109</xdr:colOff>
      <xdr:row>60</xdr:row>
      <xdr:rowOff>114715</xdr:rowOff>
    </xdr:from>
    <xdr:to>
      <xdr:col>15</xdr:col>
      <xdr:colOff>210791</xdr:colOff>
      <xdr:row>61</xdr:row>
      <xdr:rowOff>105190</xdr:rowOff>
    </xdr:to>
    <xdr:sp macro="" textlink="">
      <xdr:nvSpPr>
        <xdr:cNvPr id="22" name="Oval 21">
          <a:extLst>
            <a:ext uri="{FF2B5EF4-FFF2-40B4-BE49-F238E27FC236}">
              <a16:creationId xmlns:a16="http://schemas.microsoft.com/office/drawing/2014/main" id="{B47C0F73-3A52-4848-A203-8A4ACB4D88BA}"/>
            </a:ext>
          </a:extLst>
        </xdr:cNvPr>
        <xdr:cNvSpPr/>
      </xdr:nvSpPr>
      <xdr:spPr>
        <a:xfrm>
          <a:off x="6327084" y="12544840"/>
          <a:ext cx="455957" cy="180975"/>
        </a:xfrm>
        <a:prstGeom prst="ellipse">
          <a:avLst/>
        </a:prstGeom>
        <a:solidFill>
          <a:srgbClr val="F0F8F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180000" rtlCol="0" anchor="t"/>
        <a:lstStyle/>
        <a:p>
          <a:pPr algn="ctr"/>
          <a:endParaRPr lang="en-CA" sz="1100" b="1"/>
        </a:p>
      </xdr:txBody>
    </xdr:sp>
    <xdr:clientData/>
  </xdr:twoCellAnchor>
  <xdr:twoCellAnchor>
    <xdr:from>
      <xdr:col>11</xdr:col>
      <xdr:colOff>850209</xdr:colOff>
      <xdr:row>66</xdr:row>
      <xdr:rowOff>105190</xdr:rowOff>
    </xdr:from>
    <xdr:to>
      <xdr:col>12</xdr:col>
      <xdr:colOff>67916</xdr:colOff>
      <xdr:row>67</xdr:row>
      <xdr:rowOff>95665</xdr:rowOff>
    </xdr:to>
    <xdr:sp macro="" textlink="">
      <xdr:nvSpPr>
        <xdr:cNvPr id="23" name="Oval 22">
          <a:extLst>
            <a:ext uri="{FF2B5EF4-FFF2-40B4-BE49-F238E27FC236}">
              <a16:creationId xmlns:a16="http://schemas.microsoft.com/office/drawing/2014/main" id="{CF428617-DD36-4D1F-B132-D58E00198EF4}"/>
            </a:ext>
          </a:extLst>
        </xdr:cNvPr>
        <xdr:cNvSpPr/>
      </xdr:nvSpPr>
      <xdr:spPr>
        <a:xfrm>
          <a:off x="5346009" y="12392440"/>
          <a:ext cx="170207" cy="180975"/>
        </a:xfrm>
        <a:prstGeom prst="ellipse">
          <a:avLst/>
        </a:prstGeom>
        <a:solidFill>
          <a:srgbClr val="F0F8F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180000" rtlCol="0" anchor="t"/>
        <a:lstStyle/>
        <a:p>
          <a:pPr algn="ctr"/>
          <a:endParaRPr lang="en-CA" sz="1100" b="1"/>
        </a:p>
      </xdr:txBody>
    </xdr:sp>
    <xdr:clientData/>
  </xdr:twoCellAnchor>
  <xdr:twoCellAnchor>
    <xdr:from>
      <xdr:col>11</xdr:col>
      <xdr:colOff>1164534</xdr:colOff>
      <xdr:row>72</xdr:row>
      <xdr:rowOff>105190</xdr:rowOff>
    </xdr:from>
    <xdr:to>
      <xdr:col>12</xdr:col>
      <xdr:colOff>96491</xdr:colOff>
      <xdr:row>73</xdr:row>
      <xdr:rowOff>95665</xdr:rowOff>
    </xdr:to>
    <xdr:sp macro="" textlink="">
      <xdr:nvSpPr>
        <xdr:cNvPr id="24" name="Oval 23">
          <a:extLst>
            <a:ext uri="{FF2B5EF4-FFF2-40B4-BE49-F238E27FC236}">
              <a16:creationId xmlns:a16="http://schemas.microsoft.com/office/drawing/2014/main" id="{CDB287AC-0440-4A1C-A7E2-161B424F20DD}"/>
            </a:ext>
          </a:extLst>
        </xdr:cNvPr>
        <xdr:cNvSpPr/>
      </xdr:nvSpPr>
      <xdr:spPr>
        <a:xfrm>
          <a:off x="6022284" y="14697490"/>
          <a:ext cx="170207" cy="180975"/>
        </a:xfrm>
        <a:prstGeom prst="ellipse">
          <a:avLst/>
        </a:prstGeom>
        <a:solidFill>
          <a:srgbClr val="F0F8F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180000" rtlCol="0" anchor="t"/>
        <a:lstStyle/>
        <a:p>
          <a:pPr algn="ctr"/>
          <a:endParaRPr lang="en-CA" sz="1100" b="1"/>
        </a:p>
      </xdr:txBody>
    </xdr:sp>
    <xdr:clientData/>
  </xdr:twoCellAnchor>
  <xdr:twoCellAnchor>
    <xdr:from>
      <xdr:col>13</xdr:col>
      <xdr:colOff>40584</xdr:colOff>
      <xdr:row>78</xdr:row>
      <xdr:rowOff>95665</xdr:rowOff>
    </xdr:from>
    <xdr:to>
      <xdr:col>14</xdr:col>
      <xdr:colOff>48866</xdr:colOff>
      <xdr:row>79</xdr:row>
      <xdr:rowOff>86140</xdr:rowOff>
    </xdr:to>
    <xdr:sp macro="" textlink="">
      <xdr:nvSpPr>
        <xdr:cNvPr id="25" name="Oval 24">
          <a:extLst>
            <a:ext uri="{FF2B5EF4-FFF2-40B4-BE49-F238E27FC236}">
              <a16:creationId xmlns:a16="http://schemas.microsoft.com/office/drawing/2014/main" id="{D037730A-064C-4DEF-AF96-E4FC2A2145E8}"/>
            </a:ext>
          </a:extLst>
        </xdr:cNvPr>
        <xdr:cNvSpPr/>
      </xdr:nvSpPr>
      <xdr:spPr>
        <a:xfrm>
          <a:off x="6203259" y="14535565"/>
          <a:ext cx="170207" cy="180975"/>
        </a:xfrm>
        <a:prstGeom prst="ellipse">
          <a:avLst/>
        </a:prstGeom>
        <a:solidFill>
          <a:srgbClr val="F0F8F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180000" rtlCol="0" anchor="t"/>
        <a:lstStyle/>
        <a:p>
          <a:pPr algn="ctr"/>
          <a:endParaRPr lang="en-CA" sz="1100" b="1"/>
        </a:p>
      </xdr:txBody>
    </xdr:sp>
    <xdr:clientData/>
  </xdr:twoCellAnchor>
  <xdr:twoCellAnchor>
    <xdr:from>
      <xdr:col>13</xdr:col>
      <xdr:colOff>76200</xdr:colOff>
      <xdr:row>85</xdr:row>
      <xdr:rowOff>38100</xdr:rowOff>
    </xdr:from>
    <xdr:to>
      <xdr:col>14</xdr:col>
      <xdr:colOff>104775</xdr:colOff>
      <xdr:row>86</xdr:row>
      <xdr:rowOff>95250</xdr:rowOff>
    </xdr:to>
    <xdr:sp macro="" textlink="">
      <xdr:nvSpPr>
        <xdr:cNvPr id="26" name="Oval 25">
          <a:extLst>
            <a:ext uri="{FF2B5EF4-FFF2-40B4-BE49-F238E27FC236}">
              <a16:creationId xmlns:a16="http://schemas.microsoft.com/office/drawing/2014/main" id="{FE1FFEAB-9F5C-4A40-83C4-7163219BC625}"/>
            </a:ext>
          </a:extLst>
        </xdr:cNvPr>
        <xdr:cNvSpPr/>
      </xdr:nvSpPr>
      <xdr:spPr>
        <a:xfrm>
          <a:off x="6229350" y="15325725"/>
          <a:ext cx="171450" cy="152400"/>
        </a:xfrm>
        <a:prstGeom prst="ellipse">
          <a:avLst/>
        </a:prstGeom>
        <a:solidFill>
          <a:srgbClr val="CBE7F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180000" rtlCol="0" anchor="t"/>
        <a:lstStyle/>
        <a:p>
          <a:pPr algn="ctr"/>
          <a:endParaRPr lang="en-CA" sz="1100" b="1"/>
        </a:p>
      </xdr:txBody>
    </xdr:sp>
    <xdr:clientData/>
  </xdr:twoCellAnchor>
  <xdr:twoCellAnchor>
    <xdr:from>
      <xdr:col>12</xdr:col>
      <xdr:colOff>85726</xdr:colOff>
      <xdr:row>92</xdr:row>
      <xdr:rowOff>171450</xdr:rowOff>
    </xdr:from>
    <xdr:to>
      <xdr:col>13</xdr:col>
      <xdr:colOff>57151</xdr:colOff>
      <xdr:row>93</xdr:row>
      <xdr:rowOff>142875</xdr:rowOff>
    </xdr:to>
    <xdr:sp macro="" textlink="">
      <xdr:nvSpPr>
        <xdr:cNvPr id="27" name="Oval 26">
          <a:extLst>
            <a:ext uri="{FF2B5EF4-FFF2-40B4-BE49-F238E27FC236}">
              <a16:creationId xmlns:a16="http://schemas.microsoft.com/office/drawing/2014/main" id="{3ECB3B54-17A5-4449-8978-F4526EAB1A74}"/>
            </a:ext>
          </a:extLst>
        </xdr:cNvPr>
        <xdr:cNvSpPr/>
      </xdr:nvSpPr>
      <xdr:spPr>
        <a:xfrm>
          <a:off x="6181726" y="16506825"/>
          <a:ext cx="152400" cy="161925"/>
        </a:xfrm>
        <a:prstGeom prst="ellipse">
          <a:avLst/>
        </a:prstGeom>
        <a:solidFill>
          <a:srgbClr val="F0F8F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180000" rtlCol="0" anchor="t"/>
        <a:lstStyle/>
        <a:p>
          <a:pPr algn="ctr"/>
          <a:endParaRPr lang="en-CA" sz="1100" b="1"/>
        </a:p>
      </xdr:txBody>
    </xdr:sp>
    <xdr:clientData/>
  </xdr:twoCellAnchor>
  <xdr:twoCellAnchor>
    <xdr:from>
      <xdr:col>16</xdr:col>
      <xdr:colOff>1495425</xdr:colOff>
      <xdr:row>34</xdr:row>
      <xdr:rowOff>9524</xdr:rowOff>
    </xdr:from>
    <xdr:to>
      <xdr:col>16</xdr:col>
      <xdr:colOff>1598057</xdr:colOff>
      <xdr:row>34</xdr:row>
      <xdr:rowOff>80009</xdr:rowOff>
    </xdr:to>
    <xdr:sp macro="" textlink="">
      <xdr:nvSpPr>
        <xdr:cNvPr id="2" name="Right Triangle 1">
          <a:extLst>
            <a:ext uri="{FF2B5EF4-FFF2-40B4-BE49-F238E27FC236}">
              <a16:creationId xmlns:a16="http://schemas.microsoft.com/office/drawing/2014/main" id="{92456BEB-FF91-45E1-8513-F11A36EA0DD8}"/>
            </a:ext>
          </a:extLst>
        </xdr:cNvPr>
        <xdr:cNvSpPr/>
      </xdr:nvSpPr>
      <xdr:spPr>
        <a:xfrm rot="10800000">
          <a:off x="8410575" y="7562849"/>
          <a:ext cx="102632" cy="70485"/>
        </a:xfrm>
        <a:prstGeom prst="rtTriangle">
          <a:avLst/>
        </a:pr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180000" rtlCol="0" anchor="t"/>
        <a:lstStyle/>
        <a:p>
          <a:pPr algn="ctr"/>
          <a:endParaRPr lang="en-CA" sz="1100" b="1"/>
        </a:p>
      </xdr:txBody>
    </xdr:sp>
    <xdr:clientData/>
  </xdr:twoCellAnchor>
  <xdr:twoCellAnchor>
    <xdr:from>
      <xdr:col>16</xdr:col>
      <xdr:colOff>190500</xdr:colOff>
      <xdr:row>52</xdr:row>
      <xdr:rowOff>133350</xdr:rowOff>
    </xdr:from>
    <xdr:to>
      <xdr:col>23</xdr:col>
      <xdr:colOff>238125</xdr:colOff>
      <xdr:row>55</xdr:row>
      <xdr:rowOff>95250</xdr:rowOff>
    </xdr:to>
    <xdr:grpSp>
      <xdr:nvGrpSpPr>
        <xdr:cNvPr id="37" name="Group 36">
          <a:extLst>
            <a:ext uri="{FF2B5EF4-FFF2-40B4-BE49-F238E27FC236}">
              <a16:creationId xmlns:a16="http://schemas.microsoft.com/office/drawing/2014/main" id="{B49A10FE-6188-6817-3DDB-1E63730239B8}"/>
            </a:ext>
          </a:extLst>
        </xdr:cNvPr>
        <xdr:cNvGrpSpPr/>
      </xdr:nvGrpSpPr>
      <xdr:grpSpPr>
        <a:xfrm>
          <a:off x="7467600" y="10810875"/>
          <a:ext cx="4416425" cy="542925"/>
          <a:chOff x="7038975" y="9839325"/>
          <a:chExt cx="4229100" cy="552450"/>
        </a:xfrm>
      </xdr:grpSpPr>
      <xdr:grpSp>
        <xdr:nvGrpSpPr>
          <xdr:cNvPr id="36" name="Group 35">
            <a:extLst>
              <a:ext uri="{FF2B5EF4-FFF2-40B4-BE49-F238E27FC236}">
                <a16:creationId xmlns:a16="http://schemas.microsoft.com/office/drawing/2014/main" id="{DD3BA1B0-DDEE-498F-3BDD-42B418525243}"/>
              </a:ext>
            </a:extLst>
          </xdr:cNvPr>
          <xdr:cNvGrpSpPr/>
        </xdr:nvGrpSpPr>
        <xdr:grpSpPr>
          <a:xfrm>
            <a:off x="7038975" y="9906000"/>
            <a:ext cx="2219625" cy="190500"/>
            <a:chOff x="7038975" y="9906000"/>
            <a:chExt cx="2219625" cy="190500"/>
          </a:xfrm>
        </xdr:grpSpPr>
        <xdr:sp macro="" textlink="">
          <xdr:nvSpPr>
            <xdr:cNvPr id="31" name="Rectangle 30">
              <a:extLst>
                <a:ext uri="{FF2B5EF4-FFF2-40B4-BE49-F238E27FC236}">
                  <a16:creationId xmlns:a16="http://schemas.microsoft.com/office/drawing/2014/main" id="{6E15EAE3-C8AA-CB52-AE06-5D8A0B86989A}"/>
                </a:ext>
              </a:extLst>
            </xdr:cNvPr>
            <xdr:cNvSpPr/>
          </xdr:nvSpPr>
          <xdr:spPr>
            <a:xfrm>
              <a:off x="7038975" y="9906000"/>
              <a:ext cx="190800" cy="190500"/>
            </a:xfrm>
            <a:prstGeom prst="rect">
              <a:avLst/>
            </a:prstGeom>
            <a:solidFill>
              <a:schemeClr val="bg1">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kern="1200"/>
            </a:p>
          </xdr:txBody>
        </xdr:sp>
        <xdr:sp macro="" textlink="">
          <xdr:nvSpPr>
            <xdr:cNvPr id="32" name="Rectangle 31">
              <a:extLst>
                <a:ext uri="{FF2B5EF4-FFF2-40B4-BE49-F238E27FC236}">
                  <a16:creationId xmlns:a16="http://schemas.microsoft.com/office/drawing/2014/main" id="{8B76F4F6-6C17-49AA-B7E6-944C91F2D009}"/>
                </a:ext>
              </a:extLst>
            </xdr:cNvPr>
            <xdr:cNvSpPr/>
          </xdr:nvSpPr>
          <xdr:spPr>
            <a:xfrm>
              <a:off x="8877300" y="9906000"/>
              <a:ext cx="190800" cy="190500"/>
            </a:xfrm>
            <a:prstGeom prst="rect">
              <a:avLst/>
            </a:prstGeom>
            <a:solidFill>
              <a:srgbClr val="015A84"/>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kern="1200"/>
            </a:p>
          </xdr:txBody>
        </xdr:sp>
        <xdr:sp macro="" textlink="">
          <xdr:nvSpPr>
            <xdr:cNvPr id="33" name="Rectangle 32">
              <a:extLst>
                <a:ext uri="{FF2B5EF4-FFF2-40B4-BE49-F238E27FC236}">
                  <a16:creationId xmlns:a16="http://schemas.microsoft.com/office/drawing/2014/main" id="{8868EC20-8B9A-490F-921D-A9FB125EC58B}"/>
                </a:ext>
              </a:extLst>
            </xdr:cNvPr>
            <xdr:cNvSpPr/>
          </xdr:nvSpPr>
          <xdr:spPr>
            <a:xfrm>
              <a:off x="9067800" y="9906000"/>
              <a:ext cx="190800" cy="190500"/>
            </a:xfrm>
            <a:prstGeom prst="rect">
              <a:avLst/>
            </a:prstGeom>
            <a:pattFill prst="dkDnDiag">
              <a:fgClr>
                <a:srgbClr val="015A84"/>
              </a:fgClr>
              <a:bgClr>
                <a:schemeClr val="bg1"/>
              </a:bgClr>
            </a:patt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kern="1200"/>
            </a:p>
          </xdr:txBody>
        </xdr:sp>
      </xdr:grpSp>
      <xdr:sp macro="" textlink="">
        <xdr:nvSpPr>
          <xdr:cNvPr id="34" name="TextBox 33">
            <a:extLst>
              <a:ext uri="{FF2B5EF4-FFF2-40B4-BE49-F238E27FC236}">
                <a16:creationId xmlns:a16="http://schemas.microsoft.com/office/drawing/2014/main" id="{6EFCB914-162F-99DB-6076-88A86EAC4D96}"/>
              </a:ext>
            </a:extLst>
          </xdr:cNvPr>
          <xdr:cNvSpPr txBox="1"/>
        </xdr:nvSpPr>
        <xdr:spPr>
          <a:xfrm>
            <a:off x="7258049" y="9839325"/>
            <a:ext cx="1400176" cy="55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000" b="1" kern="1200">
                <a:latin typeface="Avenir Next LT Pro" panose="020B0504020202020204" pitchFamily="34" charset="0"/>
              </a:rPr>
              <a:t>Business as Usual Operations</a:t>
            </a:r>
          </a:p>
        </xdr:txBody>
      </xdr:sp>
      <xdr:sp macro="" textlink="">
        <xdr:nvSpPr>
          <xdr:cNvPr id="35" name="TextBox 34">
            <a:extLst>
              <a:ext uri="{FF2B5EF4-FFF2-40B4-BE49-F238E27FC236}">
                <a16:creationId xmlns:a16="http://schemas.microsoft.com/office/drawing/2014/main" id="{04DA486B-1B84-4ACB-90DB-78353E58CC79}"/>
              </a:ext>
            </a:extLst>
          </xdr:cNvPr>
          <xdr:cNvSpPr txBox="1"/>
        </xdr:nvSpPr>
        <xdr:spPr>
          <a:xfrm>
            <a:off x="9239248" y="9839325"/>
            <a:ext cx="2028827" cy="55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000" b="1" kern="1200">
                <a:latin typeface="Avenir Next LT Pro" panose="020B0504020202020204" pitchFamily="34" charset="0"/>
              </a:rPr>
              <a:t>Net Zero Retrofit Measure </a:t>
            </a:r>
            <a:br>
              <a:rPr lang="en-CA" sz="1000" b="1" kern="1200">
                <a:latin typeface="Avenir Next LT Pro" panose="020B0504020202020204" pitchFamily="34" charset="0"/>
              </a:rPr>
            </a:br>
            <a:r>
              <a:rPr lang="en-CA" sz="1000" b="0" kern="1200">
                <a:latin typeface="Avenir Next LT Pro" panose="020B0504020202020204" pitchFamily="34" charset="0"/>
              </a:rPr>
              <a:t>(Upper</a:t>
            </a:r>
            <a:r>
              <a:rPr lang="en-CA" sz="1000" b="0" kern="1200" baseline="0">
                <a:latin typeface="Avenir Next LT Pro" panose="020B0504020202020204" pitchFamily="34" charset="0"/>
              </a:rPr>
              <a:t> &amp; Lower Range)</a:t>
            </a:r>
            <a:endParaRPr lang="en-CA" sz="1000" b="1" kern="1200">
              <a:latin typeface="Avenir Next LT Pro" panose="020B0504020202020204" pitchFamily="34" charset="0"/>
            </a:endParaRPr>
          </a:p>
        </xdr:txBody>
      </xdr:sp>
    </xdr:grpSp>
    <xdr:clientData/>
  </xdr:twoCellAnchor>
  <xdr:twoCellAnchor>
    <xdr:from>
      <xdr:col>16</xdr:col>
      <xdr:colOff>192181</xdr:colOff>
      <xdr:row>54</xdr:row>
      <xdr:rowOff>152400</xdr:rowOff>
    </xdr:from>
    <xdr:to>
      <xdr:col>16</xdr:col>
      <xdr:colOff>192181</xdr:colOff>
      <xdr:row>97</xdr:row>
      <xdr:rowOff>19050</xdr:rowOff>
    </xdr:to>
    <xdr:cxnSp macro="">
      <xdr:nvCxnSpPr>
        <xdr:cNvPr id="40" name="Straight Connector 39">
          <a:extLst>
            <a:ext uri="{FF2B5EF4-FFF2-40B4-BE49-F238E27FC236}">
              <a16:creationId xmlns:a16="http://schemas.microsoft.com/office/drawing/2014/main" id="{9B50E4C7-9F4D-484E-A134-4B8273460E7F}"/>
            </a:ext>
          </a:extLst>
        </xdr:cNvPr>
        <xdr:cNvCxnSpPr/>
      </xdr:nvCxnSpPr>
      <xdr:spPr>
        <a:xfrm>
          <a:off x="7083799" y="10327341"/>
          <a:ext cx="0" cy="7464238"/>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121585</xdr:colOff>
      <xdr:row>54</xdr:row>
      <xdr:rowOff>141755</xdr:rowOff>
    </xdr:from>
    <xdr:to>
      <xdr:col>23</xdr:col>
      <xdr:colOff>1122270</xdr:colOff>
      <xdr:row>91</xdr:row>
      <xdr:rowOff>151840</xdr:rowOff>
    </xdr:to>
    <xdr:grpSp>
      <xdr:nvGrpSpPr>
        <xdr:cNvPr id="55" name="Group 54">
          <a:extLst>
            <a:ext uri="{FF2B5EF4-FFF2-40B4-BE49-F238E27FC236}">
              <a16:creationId xmlns:a16="http://schemas.microsoft.com/office/drawing/2014/main" id="{8DC0E7D6-C838-CEA0-280B-71DB39010512}"/>
            </a:ext>
          </a:extLst>
        </xdr:cNvPr>
        <xdr:cNvGrpSpPr/>
      </xdr:nvGrpSpPr>
      <xdr:grpSpPr>
        <a:xfrm>
          <a:off x="4506260" y="11222505"/>
          <a:ext cx="8265085" cy="6474385"/>
          <a:chOff x="4189320" y="10238255"/>
          <a:chExt cx="7892303" cy="6565422"/>
        </a:xfrm>
      </xdr:grpSpPr>
      <xdr:cxnSp macro="">
        <xdr:nvCxnSpPr>
          <xdr:cNvPr id="45" name="Straight Connector 44">
            <a:extLst>
              <a:ext uri="{FF2B5EF4-FFF2-40B4-BE49-F238E27FC236}">
                <a16:creationId xmlns:a16="http://schemas.microsoft.com/office/drawing/2014/main" id="{1BA7F5E6-C607-46E6-B5E3-7055078A2D6B}"/>
              </a:ext>
            </a:extLst>
          </xdr:cNvPr>
          <xdr:cNvCxnSpPr/>
        </xdr:nvCxnSpPr>
        <xdr:spPr>
          <a:xfrm flipH="1">
            <a:off x="4189320" y="12303499"/>
            <a:ext cx="7891743" cy="0"/>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48" name="Straight Connector 47">
            <a:extLst>
              <a:ext uri="{FF2B5EF4-FFF2-40B4-BE49-F238E27FC236}">
                <a16:creationId xmlns:a16="http://schemas.microsoft.com/office/drawing/2014/main" id="{7698446E-1BCE-46F7-93E0-F3E5B1EC8193}"/>
              </a:ext>
            </a:extLst>
          </xdr:cNvPr>
          <xdr:cNvCxnSpPr/>
        </xdr:nvCxnSpPr>
        <xdr:spPr>
          <a:xfrm flipH="1">
            <a:off x="4189320" y="11284884"/>
            <a:ext cx="7892303" cy="0"/>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49" name="Straight Connector 48">
            <a:extLst>
              <a:ext uri="{FF2B5EF4-FFF2-40B4-BE49-F238E27FC236}">
                <a16:creationId xmlns:a16="http://schemas.microsoft.com/office/drawing/2014/main" id="{5150E1CF-3841-4A35-8D15-01E0112B2A82}"/>
              </a:ext>
            </a:extLst>
          </xdr:cNvPr>
          <xdr:cNvCxnSpPr/>
        </xdr:nvCxnSpPr>
        <xdr:spPr>
          <a:xfrm flipH="1">
            <a:off x="4189320" y="13398874"/>
            <a:ext cx="7891743" cy="0"/>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50" name="Straight Connector 49">
            <a:extLst>
              <a:ext uri="{FF2B5EF4-FFF2-40B4-BE49-F238E27FC236}">
                <a16:creationId xmlns:a16="http://schemas.microsoft.com/office/drawing/2014/main" id="{D0588DE8-EFD7-4C69-9CF4-EDBC876364B2}"/>
              </a:ext>
            </a:extLst>
          </xdr:cNvPr>
          <xdr:cNvCxnSpPr/>
        </xdr:nvCxnSpPr>
        <xdr:spPr>
          <a:xfrm flipH="1">
            <a:off x="4189320" y="14528426"/>
            <a:ext cx="7891743" cy="0"/>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52" name="Straight Connector 51">
            <a:extLst>
              <a:ext uri="{FF2B5EF4-FFF2-40B4-BE49-F238E27FC236}">
                <a16:creationId xmlns:a16="http://schemas.microsoft.com/office/drawing/2014/main" id="{3E642811-9C27-48D1-BB66-8CF12CA3BD4B}"/>
              </a:ext>
            </a:extLst>
          </xdr:cNvPr>
          <xdr:cNvCxnSpPr/>
        </xdr:nvCxnSpPr>
        <xdr:spPr>
          <a:xfrm flipH="1">
            <a:off x="4189320" y="10238255"/>
            <a:ext cx="7892303" cy="0"/>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53" name="Straight Connector 52">
            <a:extLst>
              <a:ext uri="{FF2B5EF4-FFF2-40B4-BE49-F238E27FC236}">
                <a16:creationId xmlns:a16="http://schemas.microsoft.com/office/drawing/2014/main" id="{2E91F501-F871-4D87-916D-1AA6E1480D93}"/>
              </a:ext>
            </a:extLst>
          </xdr:cNvPr>
          <xdr:cNvCxnSpPr/>
        </xdr:nvCxnSpPr>
        <xdr:spPr>
          <a:xfrm flipH="1">
            <a:off x="4189320" y="15698777"/>
            <a:ext cx="7892303" cy="0"/>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54" name="Straight Connector 53">
            <a:extLst>
              <a:ext uri="{FF2B5EF4-FFF2-40B4-BE49-F238E27FC236}">
                <a16:creationId xmlns:a16="http://schemas.microsoft.com/office/drawing/2014/main" id="{40519A6F-80FF-4C94-B7FC-0F0DCF009762}"/>
              </a:ext>
            </a:extLst>
          </xdr:cNvPr>
          <xdr:cNvCxnSpPr/>
        </xdr:nvCxnSpPr>
        <xdr:spPr>
          <a:xfrm flipH="1">
            <a:off x="4189320" y="16803677"/>
            <a:ext cx="7892303" cy="0"/>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16</xdr:col>
      <xdr:colOff>1498997</xdr:colOff>
      <xdr:row>12</xdr:row>
      <xdr:rowOff>9524</xdr:rowOff>
    </xdr:from>
    <xdr:to>
      <xdr:col>16</xdr:col>
      <xdr:colOff>1601629</xdr:colOff>
      <xdr:row>12</xdr:row>
      <xdr:rowOff>80009</xdr:rowOff>
    </xdr:to>
    <xdr:sp macro="" textlink="">
      <xdr:nvSpPr>
        <xdr:cNvPr id="3" name="Right Triangle 2">
          <a:extLst>
            <a:ext uri="{FF2B5EF4-FFF2-40B4-BE49-F238E27FC236}">
              <a16:creationId xmlns:a16="http://schemas.microsoft.com/office/drawing/2014/main" id="{0C1B11D4-699A-4E79-AD84-D28C47FB9A97}"/>
            </a:ext>
          </a:extLst>
        </xdr:cNvPr>
        <xdr:cNvSpPr/>
      </xdr:nvSpPr>
      <xdr:spPr>
        <a:xfrm rot="10800000">
          <a:off x="8410575" y="2331243"/>
          <a:ext cx="102632" cy="70485"/>
        </a:xfrm>
        <a:prstGeom prst="rtTriangle">
          <a:avLst/>
        </a:pr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180000" rtlCol="0" anchor="t"/>
        <a:lstStyle/>
        <a:p>
          <a:pPr algn="ctr"/>
          <a:endParaRPr lang="en-CA" sz="1100" b="1"/>
        </a:p>
      </xdr:txBody>
    </xdr:sp>
    <xdr:clientData/>
  </xdr:twoCellAnchor>
  <xdr:twoCellAnchor>
    <xdr:from>
      <xdr:col>11</xdr:col>
      <xdr:colOff>1255888</xdr:colOff>
      <xdr:row>38</xdr:row>
      <xdr:rowOff>112889</xdr:rowOff>
    </xdr:from>
    <xdr:to>
      <xdr:col>12</xdr:col>
      <xdr:colOff>81058</xdr:colOff>
      <xdr:row>39</xdr:row>
      <xdr:rowOff>103135</xdr:rowOff>
    </xdr:to>
    <xdr:sp macro="" textlink="">
      <xdr:nvSpPr>
        <xdr:cNvPr id="5" name="Rectangle 4">
          <a:extLst>
            <a:ext uri="{FF2B5EF4-FFF2-40B4-BE49-F238E27FC236}">
              <a16:creationId xmlns:a16="http://schemas.microsoft.com/office/drawing/2014/main" id="{FBB57873-C277-44FC-BFF0-8E5794E5DB7E}"/>
            </a:ext>
          </a:extLst>
        </xdr:cNvPr>
        <xdr:cNvSpPr/>
      </xdr:nvSpPr>
      <xdr:spPr>
        <a:xfrm>
          <a:off x="5926666" y="7937500"/>
          <a:ext cx="165725" cy="187802"/>
        </a:xfrm>
        <a:prstGeom prst="rect">
          <a:avLst/>
        </a:prstGeom>
        <a:solidFill>
          <a:schemeClr val="bg1">
            <a:lumMod val="9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180000" rtlCol="0" anchor="t"/>
        <a:lstStyle/>
        <a:p>
          <a:pPr algn="ctr"/>
          <a:endParaRPr lang="en-CA" sz="1100" b="1"/>
        </a:p>
      </xdr:txBody>
    </xdr:sp>
    <xdr:clientData/>
  </xdr:twoCellAnchor>
</xdr:wsDr>
</file>

<file path=xl/persons/person.xml><?xml version="1.0" encoding="utf-8"?>
<personList xmlns="http://schemas.microsoft.com/office/spreadsheetml/2018/threadedcomments" xmlns:x="http://schemas.openxmlformats.org/spreadsheetml/2006/main">
  <person displayName="Kasia Boyd" id="{0B5467B2-417D-42E0-AC52-85B2D6209CE9}" userId="S::Kasia.Boyd@arup.com::c90cb18e-2937-4dca-a140-3819afcf4da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21" dT="2025-02-13T05:05:27.28" personId="{0B5467B2-417D-42E0-AC52-85B2D6209CE9}" id="{C0D0E91D-B14A-4A69-AFC2-5A555B80CD59}">
    <text>Why is this diff from emission tool</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3.bin"/><Relationship Id="rId1" Type="http://schemas.openxmlformats.org/officeDocument/2006/relationships/hyperlink" Target="https://learnmetrics.com/m3-gas-to-kwh/" TargetMode="External"/><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E6A2E-C649-4A58-8C62-3B13143755C2}">
  <dimension ref="A3:BL32"/>
  <sheetViews>
    <sheetView workbookViewId="0"/>
  </sheetViews>
  <sheetFormatPr defaultColWidth="9.1796875" defaultRowHeight="14" x14ac:dyDescent="0.3"/>
  <cols>
    <col min="1" max="64" width="9.1796875" style="25"/>
    <col min="65" max="16384" width="9.1796875" style="26"/>
  </cols>
  <sheetData>
    <row r="3" spans="2:18" x14ac:dyDescent="0.3">
      <c r="B3" s="24"/>
      <c r="C3" s="24"/>
      <c r="D3" s="24"/>
      <c r="E3" s="24"/>
      <c r="F3" s="24"/>
      <c r="G3" s="24"/>
      <c r="H3" s="24"/>
      <c r="I3" s="24"/>
      <c r="J3" s="24"/>
      <c r="K3" s="24"/>
      <c r="L3" s="24"/>
      <c r="M3" s="24"/>
      <c r="N3" s="24"/>
      <c r="O3" s="24"/>
      <c r="P3" s="24"/>
      <c r="Q3" s="24"/>
      <c r="R3" s="24"/>
    </row>
    <row r="4" spans="2:18" x14ac:dyDescent="0.3">
      <c r="B4" s="24"/>
      <c r="C4" s="24"/>
      <c r="D4" s="24"/>
      <c r="E4" s="24"/>
      <c r="F4" s="24"/>
      <c r="G4" s="24"/>
      <c r="H4" s="24"/>
      <c r="I4" s="24"/>
      <c r="J4" s="24"/>
      <c r="K4" s="24"/>
      <c r="L4" s="24"/>
      <c r="M4" s="24"/>
      <c r="N4" s="24"/>
      <c r="O4" s="24"/>
      <c r="P4" s="24"/>
      <c r="Q4" s="24"/>
      <c r="R4" s="24"/>
    </row>
    <row r="5" spans="2:18" ht="33" x14ac:dyDescent="0.7">
      <c r="B5" s="246" t="s">
        <v>0</v>
      </c>
      <c r="C5" s="246"/>
      <c r="D5" s="246"/>
      <c r="E5" s="246"/>
      <c r="F5" s="246"/>
      <c r="G5" s="246"/>
      <c r="H5" s="246"/>
      <c r="I5" s="246"/>
      <c r="J5" s="246"/>
      <c r="K5" s="246"/>
      <c r="L5" s="246"/>
      <c r="M5" s="246"/>
      <c r="N5" s="246"/>
      <c r="O5" s="246"/>
      <c r="P5" s="246"/>
      <c r="Q5" s="246"/>
      <c r="R5" s="246"/>
    </row>
    <row r="6" spans="2:18" x14ac:dyDescent="0.3">
      <c r="B6" s="24"/>
      <c r="C6" s="24"/>
      <c r="D6" s="24"/>
      <c r="E6" s="24"/>
      <c r="F6" s="24"/>
      <c r="G6" s="24"/>
      <c r="H6" s="24"/>
      <c r="I6" s="24"/>
      <c r="J6" s="24"/>
      <c r="K6" s="24"/>
      <c r="L6" s="24"/>
      <c r="M6" s="24"/>
      <c r="N6" s="24"/>
      <c r="O6" s="24"/>
      <c r="P6" s="24"/>
      <c r="Q6" s="24"/>
      <c r="R6" s="24"/>
    </row>
    <row r="7" spans="2:18" ht="45.5" x14ac:dyDescent="0.3">
      <c r="B7" s="247" t="s">
        <v>1</v>
      </c>
      <c r="C7" s="248"/>
      <c r="D7" s="248"/>
      <c r="E7" s="248"/>
      <c r="F7" s="248"/>
      <c r="G7" s="248"/>
      <c r="H7" s="248"/>
      <c r="I7" s="248"/>
      <c r="J7" s="248"/>
      <c r="K7" s="248"/>
      <c r="L7" s="248"/>
      <c r="M7" s="248"/>
      <c r="N7" s="248"/>
      <c r="O7" s="248"/>
      <c r="P7" s="248"/>
      <c r="Q7" s="248"/>
      <c r="R7" s="248"/>
    </row>
    <row r="8" spans="2:18" ht="27.75" customHeight="1" x14ac:dyDescent="0.3">
      <c r="B8" s="24"/>
      <c r="C8" s="24"/>
      <c r="D8" s="24"/>
      <c r="E8" s="24"/>
      <c r="F8" s="24"/>
      <c r="G8" s="24"/>
      <c r="H8" s="24"/>
      <c r="I8" s="24"/>
      <c r="J8" s="24"/>
      <c r="K8" s="24"/>
      <c r="L8" s="24"/>
      <c r="M8" s="24"/>
      <c r="N8" s="24"/>
      <c r="O8" s="24"/>
      <c r="P8" s="24"/>
      <c r="Q8" s="24"/>
      <c r="R8" s="24"/>
    </row>
    <row r="9" spans="2:18" ht="14.5" x14ac:dyDescent="0.35">
      <c r="B9" s="249"/>
      <c r="C9" s="249"/>
      <c r="D9" s="249"/>
      <c r="E9" s="249"/>
      <c r="F9" s="249"/>
      <c r="G9" s="249"/>
      <c r="H9" s="249"/>
      <c r="I9" s="249"/>
      <c r="J9" s="249"/>
      <c r="K9" s="249"/>
      <c r="L9" s="249"/>
      <c r="M9" s="249"/>
      <c r="N9" s="249"/>
      <c r="O9" s="249"/>
      <c r="P9" s="249"/>
      <c r="Q9" s="249"/>
      <c r="R9" s="249"/>
    </row>
    <row r="10" spans="2:18" s="25" customFormat="1" ht="8.25" customHeight="1" x14ac:dyDescent="0.3">
      <c r="B10" s="24"/>
      <c r="C10" s="24"/>
      <c r="D10" s="24"/>
      <c r="E10" s="24"/>
      <c r="F10" s="24"/>
      <c r="G10" s="24"/>
      <c r="H10" s="24"/>
      <c r="I10" s="24"/>
      <c r="J10" s="24"/>
      <c r="K10" s="24"/>
      <c r="L10" s="24"/>
      <c r="M10" s="24"/>
      <c r="N10" s="24"/>
      <c r="O10" s="24"/>
      <c r="P10" s="24"/>
      <c r="Q10" s="24"/>
      <c r="R10" s="24"/>
    </row>
    <row r="11" spans="2:18" s="25" customFormat="1" ht="14.5" x14ac:dyDescent="0.35">
      <c r="B11" s="250"/>
      <c r="C11" s="250"/>
      <c r="D11" s="250"/>
      <c r="E11" s="250"/>
      <c r="F11" s="250"/>
      <c r="G11" s="250"/>
      <c r="H11" s="250"/>
      <c r="I11" s="250"/>
      <c r="J11" s="250"/>
      <c r="K11" s="250"/>
      <c r="L11" s="250"/>
      <c r="M11" s="250"/>
      <c r="N11" s="250"/>
      <c r="O11" s="250"/>
      <c r="P11" s="250"/>
      <c r="Q11" s="250"/>
      <c r="R11" s="250"/>
    </row>
    <row r="12" spans="2:18" s="25" customFormat="1" x14ac:dyDescent="0.3">
      <c r="B12" s="24"/>
      <c r="C12" s="24"/>
      <c r="D12" s="24"/>
      <c r="E12" s="24"/>
      <c r="F12" s="24"/>
      <c r="G12" s="24"/>
      <c r="H12" s="24"/>
      <c r="I12" s="24"/>
      <c r="J12" s="24"/>
      <c r="K12" s="24"/>
      <c r="L12" s="24"/>
      <c r="M12" s="24"/>
      <c r="N12" s="24"/>
      <c r="O12" s="24"/>
      <c r="P12" s="24"/>
      <c r="Q12" s="24"/>
      <c r="R12" s="24"/>
    </row>
    <row r="13" spans="2:18" s="25" customFormat="1" x14ac:dyDescent="0.3">
      <c r="B13" s="24"/>
      <c r="C13" s="24"/>
      <c r="D13" s="24"/>
      <c r="E13" s="24"/>
      <c r="F13" s="24"/>
      <c r="G13" s="24"/>
      <c r="H13" s="24"/>
      <c r="I13" s="24"/>
      <c r="J13" s="24"/>
      <c r="K13" s="24"/>
      <c r="L13" s="24"/>
      <c r="M13" s="24"/>
      <c r="N13" s="24"/>
      <c r="O13" s="24"/>
      <c r="P13" s="24"/>
      <c r="Q13" s="24"/>
      <c r="R13" s="24"/>
    </row>
    <row r="14" spans="2:18" s="25" customFormat="1" x14ac:dyDescent="0.3">
      <c r="B14" s="24"/>
      <c r="C14" s="24"/>
      <c r="D14" s="24"/>
      <c r="E14" s="24"/>
      <c r="F14" s="24"/>
      <c r="G14" s="24"/>
      <c r="H14" s="24"/>
      <c r="I14" s="24"/>
      <c r="J14" s="24"/>
      <c r="K14" s="24"/>
      <c r="L14" s="24"/>
      <c r="M14" s="24"/>
      <c r="N14" s="24"/>
      <c r="O14" s="24"/>
      <c r="P14" s="24"/>
      <c r="Q14" s="24"/>
      <c r="R14" s="24"/>
    </row>
    <row r="15" spans="2:18" s="25" customFormat="1" x14ac:dyDescent="0.3">
      <c r="B15" s="24"/>
      <c r="C15" s="24"/>
      <c r="D15" s="24"/>
      <c r="E15" s="24"/>
      <c r="F15" s="24"/>
      <c r="G15" s="24"/>
      <c r="H15" s="24"/>
      <c r="I15" s="24"/>
      <c r="J15" s="24"/>
      <c r="K15" s="24"/>
      <c r="L15" s="24"/>
      <c r="M15" s="24"/>
      <c r="N15" s="24"/>
      <c r="O15" s="24"/>
      <c r="P15" s="24"/>
      <c r="Q15" s="24"/>
      <c r="R15" s="24"/>
    </row>
    <row r="16" spans="2:18" s="25" customFormat="1" x14ac:dyDescent="0.3">
      <c r="B16" s="24"/>
      <c r="C16" s="24"/>
      <c r="D16" s="24"/>
      <c r="E16" s="24"/>
      <c r="F16" s="24"/>
      <c r="G16" s="24"/>
      <c r="H16" s="24"/>
      <c r="I16" s="24"/>
      <c r="J16" s="24"/>
      <c r="K16" s="24"/>
      <c r="L16" s="24"/>
      <c r="M16" s="24"/>
      <c r="N16" s="24"/>
      <c r="O16" s="24"/>
      <c r="P16" s="24"/>
      <c r="Q16" s="24"/>
      <c r="R16" s="24"/>
    </row>
    <row r="17" spans="2:18" s="25" customFormat="1" x14ac:dyDescent="0.3">
      <c r="B17" s="24"/>
      <c r="C17" s="24"/>
      <c r="D17" s="24"/>
      <c r="E17" s="24"/>
      <c r="F17" s="24"/>
      <c r="G17" s="24"/>
      <c r="H17" s="24"/>
      <c r="I17" s="24"/>
      <c r="J17" s="24"/>
      <c r="K17" s="24"/>
      <c r="L17" s="24"/>
      <c r="M17" s="24"/>
      <c r="N17" s="24"/>
      <c r="O17" s="24"/>
      <c r="P17" s="24"/>
      <c r="Q17" s="24"/>
      <c r="R17" s="24"/>
    </row>
    <row r="18" spans="2:18" s="25" customFormat="1" x14ac:dyDescent="0.3">
      <c r="B18" s="24"/>
      <c r="C18" s="24"/>
      <c r="D18" s="24"/>
      <c r="E18" s="24"/>
      <c r="F18" s="24"/>
      <c r="G18" s="24"/>
      <c r="H18" s="24"/>
      <c r="I18" s="24"/>
      <c r="J18" s="24"/>
      <c r="K18" s="24"/>
      <c r="L18" s="24"/>
      <c r="M18" s="24"/>
      <c r="N18" s="24"/>
      <c r="O18" s="24"/>
      <c r="P18" s="24"/>
      <c r="Q18" s="24"/>
      <c r="R18" s="24"/>
    </row>
    <row r="19" spans="2:18" s="25" customFormat="1" x14ac:dyDescent="0.3">
      <c r="B19" s="24"/>
      <c r="C19" s="24"/>
      <c r="D19" s="24"/>
      <c r="E19" s="24"/>
      <c r="F19" s="24"/>
      <c r="G19" s="24"/>
      <c r="H19" s="24"/>
      <c r="I19" s="24"/>
      <c r="J19" s="24"/>
      <c r="K19" s="24"/>
      <c r="L19" s="24"/>
      <c r="M19" s="24"/>
      <c r="N19" s="24"/>
      <c r="O19" s="24"/>
      <c r="P19" s="24"/>
      <c r="Q19" s="24"/>
      <c r="R19" s="24"/>
    </row>
    <row r="20" spans="2:18" s="25" customFormat="1" x14ac:dyDescent="0.3">
      <c r="B20" s="24"/>
      <c r="C20" s="24"/>
      <c r="D20" s="24"/>
      <c r="E20" s="24"/>
      <c r="F20" s="24"/>
      <c r="G20" s="24"/>
      <c r="H20" s="24"/>
      <c r="I20" s="24"/>
      <c r="J20" s="24"/>
      <c r="K20" s="24"/>
      <c r="L20" s="24"/>
      <c r="M20" s="24"/>
      <c r="N20" s="24"/>
      <c r="O20" s="24"/>
      <c r="P20" s="24"/>
      <c r="Q20" s="24"/>
      <c r="R20" s="24"/>
    </row>
    <row r="21" spans="2:18" s="25" customFormat="1" x14ac:dyDescent="0.3">
      <c r="B21" s="24"/>
      <c r="C21" s="24"/>
      <c r="D21" s="24"/>
      <c r="E21" s="24"/>
      <c r="F21" s="24"/>
      <c r="G21" s="24"/>
      <c r="H21" s="24"/>
      <c r="I21" s="24"/>
      <c r="J21" s="24"/>
      <c r="K21" s="24"/>
      <c r="L21" s="24"/>
      <c r="M21" s="24"/>
      <c r="N21" s="24"/>
      <c r="O21" s="24"/>
      <c r="P21" s="24"/>
      <c r="Q21" s="24"/>
      <c r="R21" s="24"/>
    </row>
    <row r="22" spans="2:18" s="25" customFormat="1" x14ac:dyDescent="0.3">
      <c r="B22" s="24"/>
      <c r="C22" s="24"/>
      <c r="D22" s="24"/>
      <c r="E22" s="24"/>
      <c r="F22" s="24"/>
      <c r="G22" s="24"/>
      <c r="H22" s="24"/>
      <c r="I22" s="24"/>
      <c r="J22" s="24"/>
      <c r="K22" s="24"/>
      <c r="L22" s="24"/>
      <c r="M22" s="24"/>
      <c r="N22" s="24"/>
      <c r="O22" s="24"/>
      <c r="P22" s="24"/>
      <c r="Q22" s="24"/>
      <c r="R22" s="24"/>
    </row>
    <row r="23" spans="2:18" s="25" customFormat="1" x14ac:dyDescent="0.3">
      <c r="B23" s="24"/>
      <c r="C23" s="24"/>
      <c r="D23" s="24"/>
      <c r="E23" s="24"/>
      <c r="F23" s="24"/>
      <c r="G23" s="24"/>
      <c r="H23" s="24"/>
      <c r="I23" s="24"/>
      <c r="J23" s="24"/>
      <c r="K23" s="24"/>
      <c r="L23" s="24"/>
      <c r="M23" s="24"/>
      <c r="N23" s="24"/>
      <c r="O23" s="24"/>
      <c r="P23" s="24"/>
      <c r="Q23" s="24"/>
      <c r="R23" s="24"/>
    </row>
    <row r="24" spans="2:18" s="25" customFormat="1" x14ac:dyDescent="0.3">
      <c r="B24" s="24"/>
      <c r="C24" s="24"/>
      <c r="D24" s="24"/>
      <c r="E24" s="24"/>
      <c r="F24" s="24"/>
      <c r="G24" s="24"/>
      <c r="H24" s="24"/>
      <c r="I24" s="24"/>
      <c r="J24" s="24"/>
      <c r="K24" s="24"/>
      <c r="L24" s="24"/>
      <c r="M24" s="24"/>
      <c r="N24" s="24"/>
      <c r="O24" s="24"/>
      <c r="P24" s="24"/>
      <c r="Q24" s="24"/>
      <c r="R24" s="24"/>
    </row>
    <row r="25" spans="2:18" s="25" customFormat="1" x14ac:dyDescent="0.3">
      <c r="B25" s="24"/>
      <c r="C25" s="24"/>
      <c r="D25" s="24"/>
      <c r="E25" s="24"/>
      <c r="F25" s="24"/>
      <c r="G25" s="24"/>
      <c r="H25" s="24"/>
      <c r="I25" s="24"/>
      <c r="J25" s="24"/>
      <c r="K25" s="24"/>
      <c r="L25" s="24"/>
      <c r="M25" s="24"/>
      <c r="N25" s="24"/>
      <c r="O25" s="24"/>
      <c r="P25" s="24"/>
      <c r="Q25" s="24"/>
      <c r="R25" s="24"/>
    </row>
    <row r="26" spans="2:18" s="25" customFormat="1" x14ac:dyDescent="0.3">
      <c r="B26" s="24"/>
      <c r="C26" s="24"/>
      <c r="D26" s="24"/>
      <c r="E26" s="24"/>
      <c r="F26" s="24"/>
      <c r="G26" s="24"/>
      <c r="H26" s="24"/>
      <c r="I26" s="24"/>
      <c r="J26" s="24"/>
      <c r="K26" s="24"/>
      <c r="L26" s="24"/>
      <c r="M26" s="24"/>
      <c r="N26" s="24"/>
      <c r="O26" s="24"/>
      <c r="P26" s="24"/>
      <c r="Q26" s="24"/>
      <c r="R26" s="24"/>
    </row>
    <row r="27" spans="2:18" s="25" customFormat="1" x14ac:dyDescent="0.3">
      <c r="B27" s="24"/>
      <c r="C27" s="24"/>
      <c r="D27" s="24"/>
      <c r="E27" s="24"/>
      <c r="F27" s="24"/>
      <c r="G27" s="24"/>
      <c r="H27" s="24"/>
      <c r="I27" s="24"/>
      <c r="J27" s="24"/>
      <c r="K27" s="24"/>
      <c r="L27" s="24"/>
      <c r="M27" s="24"/>
      <c r="N27" s="24"/>
      <c r="O27" s="24"/>
      <c r="P27" s="24"/>
      <c r="Q27" s="24"/>
      <c r="R27" s="24"/>
    </row>
    <row r="28" spans="2:18" s="25" customFormat="1" x14ac:dyDescent="0.3">
      <c r="B28" s="24"/>
      <c r="C28" s="24"/>
      <c r="D28" s="24"/>
      <c r="E28" s="24"/>
      <c r="F28" s="24"/>
      <c r="G28" s="24"/>
      <c r="H28" s="24"/>
      <c r="I28" s="24"/>
      <c r="J28" s="24"/>
      <c r="K28" s="24"/>
      <c r="L28" s="24"/>
      <c r="M28" s="24"/>
      <c r="N28" s="24"/>
      <c r="O28" s="24"/>
      <c r="P28" s="24"/>
      <c r="Q28" s="24"/>
      <c r="R28" s="24"/>
    </row>
    <row r="29" spans="2:18" s="25" customFormat="1" x14ac:dyDescent="0.3">
      <c r="B29" s="24"/>
      <c r="C29" s="24"/>
      <c r="D29" s="24"/>
      <c r="E29" s="24"/>
      <c r="F29" s="24"/>
      <c r="G29" s="24"/>
      <c r="H29" s="24"/>
      <c r="I29" s="24"/>
      <c r="J29" s="24"/>
      <c r="K29" s="24"/>
      <c r="L29" s="24"/>
      <c r="M29" s="24"/>
      <c r="N29" s="24"/>
      <c r="O29" s="24"/>
      <c r="P29" s="24"/>
      <c r="Q29" s="24"/>
      <c r="R29" s="24"/>
    </row>
    <row r="30" spans="2:18" s="25" customFormat="1" x14ac:dyDescent="0.3">
      <c r="B30" s="24"/>
      <c r="C30" s="24"/>
      <c r="D30" s="24"/>
      <c r="E30" s="24"/>
      <c r="F30" s="24"/>
      <c r="G30" s="24"/>
      <c r="H30" s="24"/>
      <c r="I30" s="24"/>
      <c r="J30" s="24"/>
      <c r="K30" s="24"/>
      <c r="L30" s="24"/>
      <c r="M30" s="24"/>
      <c r="N30" s="24"/>
      <c r="O30" s="24"/>
      <c r="P30" s="24"/>
      <c r="Q30" s="24"/>
      <c r="R30" s="24"/>
    </row>
    <row r="31" spans="2:18" s="25" customFormat="1" x14ac:dyDescent="0.3">
      <c r="B31" s="24"/>
      <c r="C31" s="24"/>
      <c r="D31" s="24"/>
      <c r="E31" s="24"/>
      <c r="F31" s="24"/>
      <c r="G31" s="24"/>
      <c r="H31" s="24"/>
      <c r="I31" s="24"/>
      <c r="J31" s="24"/>
      <c r="K31" s="24"/>
      <c r="L31" s="24"/>
      <c r="M31" s="24"/>
      <c r="N31" s="24"/>
      <c r="O31" s="24"/>
      <c r="P31" s="24"/>
      <c r="Q31" s="24"/>
      <c r="R31" s="24"/>
    </row>
    <row r="32" spans="2:18" s="25" customFormat="1" x14ac:dyDescent="0.3">
      <c r="B32" s="24"/>
      <c r="C32" s="24"/>
      <c r="D32" s="24"/>
      <c r="E32" s="24"/>
      <c r="F32" s="24"/>
      <c r="G32" s="24"/>
      <c r="H32" s="24"/>
      <c r="I32" s="24"/>
      <c r="J32" s="24"/>
      <c r="K32" s="24"/>
      <c r="L32" s="24"/>
      <c r="M32" s="24"/>
      <c r="N32" s="24"/>
      <c r="O32" s="24"/>
      <c r="P32" s="24"/>
      <c r="Q32" s="24"/>
      <c r="R32" s="24"/>
    </row>
  </sheetData>
  <sheetProtection sheet="1" objects="1" scenarios="1" selectLockedCells="1" selectUnlockedCells="1"/>
  <mergeCells count="4">
    <mergeCell ref="B5:R5"/>
    <mergeCell ref="B7:R7"/>
    <mergeCell ref="B9:R9"/>
    <mergeCell ref="B11:R1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DC613-C6EA-410A-99F9-FF576D083D99}">
  <sheetPr>
    <outlinePr summaryBelow="0"/>
    <pageSetUpPr fitToPage="1"/>
  </sheetPr>
  <dimension ref="A1:CV1030"/>
  <sheetViews>
    <sheetView tabSelected="1" zoomScaleNormal="100" workbookViewId="0">
      <selection activeCell="F15" sqref="F15:H15"/>
    </sheetView>
  </sheetViews>
  <sheetFormatPr defaultColWidth="8.81640625" defaultRowHeight="14.5" outlineLevelRow="1" x14ac:dyDescent="0.35"/>
  <cols>
    <col min="1" max="1" width="2.453125" style="28" customWidth="1"/>
    <col min="2" max="2" width="3" style="31" customWidth="1"/>
    <col min="3" max="3" width="2.453125" style="31" customWidth="1"/>
    <col min="4" max="4" width="5.81640625" style="31" customWidth="1"/>
    <col min="5" max="5" width="18.7265625" style="31" customWidth="1"/>
    <col min="6" max="6" width="12.453125" style="31" customWidth="1"/>
    <col min="7" max="7" width="9.7265625" style="31" customWidth="1"/>
    <col min="8" max="8" width="8.1796875" style="31" customWidth="1"/>
    <col min="9" max="9" width="1.81640625" style="31" customWidth="1"/>
    <col min="10" max="10" width="0.81640625" style="31" customWidth="1"/>
    <col min="11" max="11" width="5.453125" style="31" customWidth="1"/>
    <col min="12" max="12" width="20.1796875" style="31" customWidth="1"/>
    <col min="13" max="13" width="2.7265625" style="31" customWidth="1"/>
    <col min="14" max="14" width="3" style="31" customWidth="1"/>
    <col min="15" max="15" width="2.26953125" style="31" customWidth="1"/>
    <col min="16" max="16" width="5.1796875" style="31" customWidth="1"/>
    <col min="17" max="17" width="24.1796875" style="31" customWidth="1"/>
    <col min="18" max="23" width="6.453125" style="31" customWidth="1"/>
    <col min="24" max="24" width="17" style="31" customWidth="1"/>
    <col min="25" max="25" width="2" style="31" customWidth="1"/>
    <col min="26" max="26" width="3" style="31" customWidth="1"/>
    <col min="27" max="27" width="2.453125" style="29" customWidth="1"/>
    <col min="28" max="28" width="8.81640625" style="29"/>
    <col min="29" max="100" width="8.81640625" style="27"/>
    <col min="101" max="16384" width="8.81640625" style="14"/>
  </cols>
  <sheetData>
    <row r="1" spans="1:28" s="27" customFormat="1" x14ac:dyDescent="0.35">
      <c r="A1" s="28"/>
      <c r="B1" s="29"/>
      <c r="C1" s="29"/>
      <c r="D1" s="29"/>
      <c r="E1" s="29"/>
      <c r="F1" s="29"/>
      <c r="G1" s="29"/>
      <c r="H1" s="29"/>
      <c r="I1" s="29"/>
      <c r="J1" s="29"/>
      <c r="K1" s="29"/>
      <c r="L1" s="29"/>
      <c r="M1" s="29"/>
      <c r="N1" s="29"/>
      <c r="O1" s="29"/>
      <c r="P1" s="29"/>
      <c r="Q1" s="29"/>
      <c r="R1" s="29"/>
      <c r="S1" s="29"/>
      <c r="T1" s="29"/>
      <c r="U1" s="29"/>
      <c r="V1" s="29"/>
      <c r="W1" s="29"/>
      <c r="X1" s="29"/>
      <c r="Y1" s="29"/>
      <c r="Z1" s="29"/>
      <c r="AA1" s="29"/>
      <c r="AB1" s="29"/>
    </row>
    <row r="2" spans="1:28" ht="15" customHeight="1" x14ac:dyDescent="0.35">
      <c r="B2" s="30"/>
      <c r="C2" s="34"/>
      <c r="D2" s="34"/>
      <c r="E2" s="34"/>
      <c r="F2" s="34"/>
      <c r="G2" s="34"/>
      <c r="H2" s="34"/>
      <c r="I2" s="34"/>
      <c r="J2" s="34"/>
      <c r="K2" s="34"/>
      <c r="L2" s="34"/>
      <c r="M2" s="34"/>
      <c r="N2" s="34"/>
      <c r="O2" s="34"/>
      <c r="P2" s="34"/>
      <c r="Q2" s="34"/>
      <c r="R2" s="34"/>
      <c r="S2" s="34"/>
      <c r="T2" s="34"/>
      <c r="U2" s="34"/>
      <c r="V2" s="34"/>
      <c r="W2" s="34"/>
      <c r="X2" s="34"/>
      <c r="Y2" s="34"/>
      <c r="Z2" s="34"/>
    </row>
    <row r="3" spans="1:28" ht="31.5" customHeight="1" x14ac:dyDescent="0.35">
      <c r="B3" s="30"/>
      <c r="C3" s="281" t="s">
        <v>270</v>
      </c>
      <c r="D3" s="281"/>
      <c r="E3" s="281"/>
      <c r="F3" s="281"/>
      <c r="G3" s="281"/>
      <c r="H3" s="281"/>
      <c r="I3" s="281"/>
      <c r="J3" s="281"/>
      <c r="K3" s="281"/>
      <c r="L3" s="281"/>
      <c r="M3" s="281"/>
      <c r="N3" s="281"/>
      <c r="O3" s="281"/>
      <c r="P3" s="281"/>
      <c r="Q3" s="281"/>
      <c r="R3" s="281"/>
      <c r="S3" s="281"/>
      <c r="T3" s="281"/>
      <c r="U3" s="281"/>
      <c r="V3" s="281"/>
      <c r="W3" s="281"/>
      <c r="X3" s="281"/>
      <c r="Y3" s="281"/>
      <c r="Z3" s="281"/>
    </row>
    <row r="4" spans="1:28" ht="15" customHeight="1" outlineLevel="1" x14ac:dyDescent="0.35">
      <c r="B4" s="30"/>
      <c r="C4" s="290" t="s">
        <v>271</v>
      </c>
      <c r="D4" s="290"/>
      <c r="E4" s="290"/>
      <c r="F4" s="290"/>
      <c r="G4" s="290"/>
      <c r="H4" s="290"/>
      <c r="I4" s="290"/>
      <c r="J4" s="290"/>
      <c r="K4" s="290"/>
      <c r="L4" s="290"/>
      <c r="M4" s="290"/>
      <c r="N4" s="290"/>
      <c r="O4" s="290"/>
      <c r="P4" s="290"/>
      <c r="Q4" s="290"/>
      <c r="R4" s="290"/>
      <c r="S4" s="290"/>
      <c r="T4" s="290"/>
      <c r="U4" s="290"/>
      <c r="V4" s="290"/>
      <c r="W4" s="290"/>
      <c r="X4" s="290"/>
      <c r="Y4" s="290"/>
      <c r="Z4" s="158"/>
    </row>
    <row r="5" spans="1:28" ht="15" customHeight="1" outlineLevel="1" x14ac:dyDescent="0.35">
      <c r="B5" s="30"/>
      <c r="C5" s="159"/>
      <c r="D5" s="159"/>
      <c r="E5" s="159"/>
      <c r="F5" s="159"/>
      <c r="G5" s="159"/>
      <c r="H5" s="159"/>
      <c r="I5" s="159"/>
      <c r="J5" s="159"/>
      <c r="K5" s="159"/>
      <c r="L5" s="159"/>
      <c r="M5" s="159"/>
      <c r="N5" s="159"/>
      <c r="O5" s="159"/>
      <c r="P5" s="159"/>
      <c r="Q5" s="159"/>
      <c r="R5" s="159"/>
      <c r="S5" s="159"/>
      <c r="T5" s="159"/>
      <c r="U5" s="159"/>
      <c r="V5" s="159"/>
      <c r="W5" s="159"/>
      <c r="X5" s="159"/>
      <c r="Y5" s="159"/>
      <c r="Z5" s="35"/>
    </row>
    <row r="6" spans="1:28" ht="7.5" customHeight="1" x14ac:dyDescent="0.35">
      <c r="B6" s="30"/>
      <c r="C6" s="29"/>
      <c r="D6" s="29"/>
      <c r="E6" s="29"/>
      <c r="F6" s="29"/>
      <c r="G6" s="29"/>
      <c r="H6" s="29"/>
      <c r="I6" s="29"/>
      <c r="J6" s="29"/>
      <c r="K6" s="29"/>
      <c r="L6" s="29"/>
      <c r="M6" s="29"/>
      <c r="N6" s="29"/>
      <c r="O6" s="29"/>
      <c r="P6" s="29"/>
      <c r="Q6" s="29"/>
      <c r="R6" s="29"/>
      <c r="S6" s="29"/>
      <c r="T6" s="29"/>
      <c r="U6" s="29"/>
      <c r="V6" s="29"/>
      <c r="W6" s="29"/>
      <c r="X6" s="29"/>
      <c r="Y6" s="29"/>
      <c r="Z6" s="30"/>
    </row>
    <row r="7" spans="1:28" ht="15" customHeight="1" x14ac:dyDescent="0.35">
      <c r="B7" s="30"/>
      <c r="C7" s="30"/>
      <c r="D7" s="30"/>
      <c r="E7" s="30"/>
      <c r="F7" s="30"/>
      <c r="G7" s="30"/>
      <c r="H7" s="30"/>
      <c r="I7" s="30"/>
      <c r="J7" s="30"/>
      <c r="K7" s="30"/>
      <c r="L7" s="30"/>
      <c r="M7" s="30"/>
      <c r="N7" s="30"/>
      <c r="O7" s="30"/>
      <c r="P7" s="30"/>
      <c r="Q7" s="30"/>
      <c r="R7" s="30"/>
      <c r="S7" s="30"/>
      <c r="T7" s="30"/>
      <c r="U7" s="30"/>
      <c r="V7" s="30"/>
      <c r="W7" s="30"/>
      <c r="X7" s="30"/>
      <c r="Y7" s="30"/>
      <c r="Z7" s="30"/>
    </row>
    <row r="8" spans="1:28" ht="21" customHeight="1" x14ac:dyDescent="0.35">
      <c r="B8" s="30"/>
      <c r="C8" s="32"/>
      <c r="D8" s="37"/>
      <c r="E8" s="37"/>
      <c r="F8" s="37"/>
      <c r="G8" s="37"/>
      <c r="H8" s="37"/>
      <c r="I8" s="37"/>
      <c r="J8" s="37"/>
      <c r="K8" s="37"/>
      <c r="L8" s="37"/>
      <c r="M8" s="37"/>
      <c r="N8" s="30"/>
      <c r="O8" s="46"/>
      <c r="P8" s="46"/>
      <c r="Q8" s="179" t="str">
        <f>IF(ISERROR(W17),"Error - Reselect net zero retrofit measure in step 3","")</f>
        <v/>
      </c>
      <c r="R8" s="179"/>
      <c r="S8" s="179"/>
      <c r="T8" s="179"/>
      <c r="U8" s="179"/>
      <c r="V8" s="179"/>
      <c r="W8" s="179"/>
      <c r="X8" s="179"/>
      <c r="Y8" s="46"/>
      <c r="Z8" s="47"/>
    </row>
    <row r="9" spans="1:28" ht="15" customHeight="1" x14ac:dyDescent="0.35">
      <c r="B9" s="30"/>
      <c r="C9" s="32"/>
      <c r="D9" s="291" t="s">
        <v>356</v>
      </c>
      <c r="E9" s="291"/>
      <c r="F9" s="291"/>
      <c r="G9" s="291"/>
      <c r="H9" s="291"/>
      <c r="I9" s="291"/>
      <c r="J9" s="291"/>
      <c r="K9" s="291"/>
      <c r="L9" s="291"/>
      <c r="M9" s="36"/>
      <c r="N9" s="30"/>
      <c r="O9" s="46"/>
      <c r="P9" s="299" t="s">
        <v>269</v>
      </c>
      <c r="Q9" s="299"/>
      <c r="R9" s="299"/>
      <c r="S9" s="299"/>
      <c r="T9" s="299"/>
      <c r="U9" s="179"/>
      <c r="V9" s="179"/>
      <c r="W9" s="179"/>
      <c r="X9" s="179"/>
      <c r="Y9" s="46"/>
      <c r="Z9" s="47"/>
    </row>
    <row r="10" spans="1:28" ht="15" customHeight="1" x14ac:dyDescent="0.45">
      <c r="B10" s="30"/>
      <c r="C10" s="32"/>
      <c r="D10" s="291"/>
      <c r="E10" s="291"/>
      <c r="F10" s="291"/>
      <c r="G10" s="291"/>
      <c r="H10" s="291"/>
      <c r="I10" s="291"/>
      <c r="J10" s="291"/>
      <c r="K10" s="291"/>
      <c r="L10" s="291"/>
      <c r="M10" s="36"/>
      <c r="N10" s="30"/>
      <c r="O10" s="46"/>
      <c r="P10" s="299"/>
      <c r="Q10" s="299"/>
      <c r="R10" s="299"/>
      <c r="S10" s="299"/>
      <c r="T10" s="299"/>
      <c r="U10" s="168"/>
      <c r="V10" s="168"/>
      <c r="W10" s="168"/>
      <c r="X10" s="168"/>
      <c r="Y10" s="46"/>
      <c r="Z10" s="47"/>
    </row>
    <row r="11" spans="1:28" ht="15" customHeight="1" x14ac:dyDescent="0.45">
      <c r="B11" s="30"/>
      <c r="C11" s="32"/>
      <c r="D11" s="291"/>
      <c r="E11" s="291"/>
      <c r="F11" s="291"/>
      <c r="G11" s="291"/>
      <c r="H11" s="291"/>
      <c r="I11" s="291"/>
      <c r="J11" s="291"/>
      <c r="K11" s="291"/>
      <c r="L11" s="291"/>
      <c r="M11" s="36"/>
      <c r="N11" s="30"/>
      <c r="O11" s="46"/>
      <c r="P11" s="177"/>
      <c r="Q11" s="178" t="s">
        <v>324</v>
      </c>
      <c r="R11" s="168"/>
      <c r="S11" s="168"/>
      <c r="T11" s="168"/>
      <c r="U11" s="168"/>
      <c r="V11" s="168"/>
      <c r="W11" s="300" t="s">
        <v>326</v>
      </c>
      <c r="X11" s="301"/>
      <c r="Y11" s="46"/>
      <c r="Z11" s="47"/>
    </row>
    <row r="12" spans="1:28" ht="16.5" customHeight="1" x14ac:dyDescent="0.45">
      <c r="B12" s="30"/>
      <c r="C12" s="32"/>
      <c r="D12" s="291"/>
      <c r="E12" s="291"/>
      <c r="F12" s="291"/>
      <c r="G12" s="291"/>
      <c r="H12" s="291"/>
      <c r="I12" s="291"/>
      <c r="J12" s="291"/>
      <c r="K12" s="291"/>
      <c r="L12" s="291"/>
      <c r="M12" s="36"/>
      <c r="N12" s="30"/>
      <c r="O12" s="46"/>
      <c r="P12" s="177"/>
      <c r="Q12" s="168"/>
      <c r="R12" s="168"/>
      <c r="S12" s="168"/>
      <c r="T12" s="168"/>
      <c r="U12" s="168"/>
      <c r="V12" s="168"/>
      <c r="W12" s="168"/>
      <c r="X12" s="177"/>
      <c r="Y12" s="46"/>
      <c r="Z12" s="47"/>
    </row>
    <row r="13" spans="1:28" ht="15.75" customHeight="1" x14ac:dyDescent="0.35">
      <c r="B13" s="30"/>
      <c r="C13" s="32"/>
      <c r="D13" s="298" t="s">
        <v>357</v>
      </c>
      <c r="E13" s="298"/>
      <c r="F13" s="298"/>
      <c r="G13" s="298"/>
      <c r="H13" s="298"/>
      <c r="I13" s="147"/>
      <c r="J13" s="147"/>
      <c r="K13" s="147"/>
      <c r="L13" s="147"/>
      <c r="M13" s="41"/>
      <c r="N13" s="30"/>
      <c r="O13" s="32"/>
      <c r="P13" s="32"/>
      <c r="Q13" s="39" t="s">
        <v>295</v>
      </c>
      <c r="R13" s="292" t="s">
        <v>346</v>
      </c>
      <c r="S13" s="293"/>
      <c r="T13" s="293"/>
      <c r="U13" s="293"/>
      <c r="V13" s="293"/>
      <c r="W13" s="294"/>
      <c r="X13" s="32"/>
      <c r="Y13" s="32"/>
      <c r="Z13" s="30"/>
    </row>
    <row r="14" spans="1:28" ht="16" x14ac:dyDescent="0.35">
      <c r="B14" s="30"/>
      <c r="C14" s="32"/>
      <c r="D14" s="298"/>
      <c r="E14" s="298"/>
      <c r="F14" s="298"/>
      <c r="G14" s="298"/>
      <c r="H14" s="298"/>
      <c r="I14" s="147"/>
      <c r="J14" s="147"/>
      <c r="K14" s="251" t="s">
        <v>318</v>
      </c>
      <c r="L14" s="251"/>
      <c r="M14" s="41"/>
      <c r="N14" s="30"/>
      <c r="O14" s="32"/>
      <c r="P14" s="32"/>
      <c r="Q14" s="39"/>
      <c r="R14" s="295"/>
      <c r="S14" s="296"/>
      <c r="T14" s="296"/>
      <c r="U14" s="296"/>
      <c r="V14" s="296"/>
      <c r="W14" s="297"/>
      <c r="X14" s="32"/>
      <c r="Y14" s="32"/>
      <c r="Z14" s="30"/>
    </row>
    <row r="15" spans="1:28" ht="15.75" customHeight="1" x14ac:dyDescent="0.45">
      <c r="B15" s="30"/>
      <c r="C15" s="32"/>
      <c r="D15" s="147"/>
      <c r="E15" s="39" t="s">
        <v>3</v>
      </c>
      <c r="F15" s="286"/>
      <c r="G15" s="287"/>
      <c r="H15" s="288"/>
      <c r="I15" s="38"/>
      <c r="J15" s="38"/>
      <c r="K15" s="252" t="str">
        <f>IFERROR('Tool Calc Sheet'!D6,"")</f>
        <v/>
      </c>
      <c r="L15" s="252"/>
      <c r="M15" s="41"/>
      <c r="N15" s="30"/>
      <c r="O15" s="32"/>
      <c r="P15" s="261" t="s">
        <v>333</v>
      </c>
      <c r="Q15" s="261"/>
      <c r="R15" s="50"/>
      <c r="S15" s="50"/>
      <c r="T15" s="50"/>
      <c r="U15" s="50"/>
      <c r="V15" s="48"/>
      <c r="W15" s="57"/>
      <c r="X15" s="57"/>
      <c r="Y15" s="32"/>
      <c r="Z15" s="30"/>
    </row>
    <row r="16" spans="1:28" ht="16.5" customHeight="1" x14ac:dyDescent="0.35">
      <c r="B16" s="30"/>
      <c r="C16" s="32"/>
      <c r="D16" s="147"/>
      <c r="E16" s="38"/>
      <c r="F16" s="38"/>
      <c r="G16" s="38"/>
      <c r="H16" s="38"/>
      <c r="I16" s="38"/>
      <c r="J16" s="38"/>
      <c r="K16" s="252"/>
      <c r="L16" s="252"/>
      <c r="M16" s="41"/>
      <c r="N16" s="30"/>
      <c r="O16" s="32"/>
      <c r="P16" s="261"/>
      <c r="Q16" s="261"/>
      <c r="R16" s="135"/>
      <c r="S16" s="135"/>
      <c r="T16" s="135"/>
      <c r="U16" s="135"/>
      <c r="V16" s="135"/>
      <c r="W16" s="152" t="s">
        <v>2</v>
      </c>
      <c r="X16" s="135"/>
      <c r="Y16" s="32"/>
      <c r="Z16" s="30"/>
    </row>
    <row r="17" spans="2:28" ht="15.5" x14ac:dyDescent="0.35">
      <c r="B17" s="30"/>
      <c r="C17" s="32"/>
      <c r="D17" s="147"/>
      <c r="E17" s="39" t="s">
        <v>5</v>
      </c>
      <c r="F17" s="264"/>
      <c r="G17" s="265"/>
      <c r="H17" s="38" t="s">
        <v>6</v>
      </c>
      <c r="I17" s="38"/>
      <c r="J17" s="38"/>
      <c r="K17" s="252"/>
      <c r="L17" s="252"/>
      <c r="M17" s="41"/>
      <c r="N17" s="30"/>
      <c r="O17" s="32"/>
      <c r="P17" s="261"/>
      <c r="Q17" s="261"/>
      <c r="R17" s="283"/>
      <c r="S17" s="284"/>
      <c r="T17" s="284"/>
      <c r="U17" s="285"/>
      <c r="V17" s="38"/>
      <c r="W17" s="289" t="str">
        <f>IF(ISBLANK(F45),"",
IF('Tool Calc Sheet'!D66='Tool Calc Sheet'!D67,TEXT(ROUND('Tool Calc Sheet'!D66,VLOOKUP('Tool Calc Sheet'!D66,'Tool Calc Sheet'!$O$191:$P$198,2,TRUE)),"$#,##0"),TEXT(ROUND('Tool Calc Sheet'!D66,VLOOKUP('Tool Calc Sheet'!D66,'Tool Calc Sheet'!$O$191:$P$198,2,TRUE)),"$#,##0")&amp;" - "&amp;TEXT(ROUND('Tool Calc Sheet'!D67,VLOOKUP('Tool Calc Sheet'!D67,'Tool Calc Sheet'!$O$191:$P$198,2,TRUE)),"$#,##0")))</f>
        <v/>
      </c>
      <c r="X17" s="289"/>
      <c r="Y17" s="32"/>
      <c r="Z17" s="30"/>
    </row>
    <row r="18" spans="2:28" ht="12" customHeight="1" x14ac:dyDescent="0.45">
      <c r="B18" s="30"/>
      <c r="C18" s="32"/>
      <c r="D18" s="147"/>
      <c r="E18" s="38"/>
      <c r="F18" s="38"/>
      <c r="G18" s="38"/>
      <c r="H18" s="38"/>
      <c r="I18" s="38"/>
      <c r="J18" s="38"/>
      <c r="K18" s="38"/>
      <c r="L18" s="147"/>
      <c r="M18" s="41"/>
      <c r="N18" s="30"/>
      <c r="O18" s="32"/>
      <c r="P18" s="48"/>
      <c r="Q18" s="135"/>
      <c r="R18" s="135"/>
      <c r="S18" s="135"/>
      <c r="T18" s="135"/>
      <c r="U18" s="135"/>
      <c r="V18" s="135"/>
      <c r="W18" s="135"/>
      <c r="X18" s="135"/>
      <c r="Y18" s="32"/>
      <c r="Z18" s="30"/>
    </row>
    <row r="19" spans="2:28" ht="20.5" x14ac:dyDescent="0.45">
      <c r="B19" s="30"/>
      <c r="C19" s="32"/>
      <c r="D19" s="282" t="s">
        <v>358</v>
      </c>
      <c r="E19" s="282"/>
      <c r="F19" s="282"/>
      <c r="G19" s="282"/>
      <c r="H19" s="282"/>
      <c r="I19" s="282"/>
      <c r="J19" s="282"/>
      <c r="K19" s="282"/>
      <c r="L19" s="282"/>
      <c r="M19" s="41"/>
      <c r="N19" s="30"/>
      <c r="O19" s="32"/>
      <c r="P19" s="48"/>
      <c r="Q19" s="38" t="s">
        <v>345</v>
      </c>
      <c r="R19" s="135"/>
      <c r="S19" s="135"/>
      <c r="T19" s="135"/>
      <c r="U19" s="135"/>
      <c r="V19" s="135"/>
      <c r="W19" s="135"/>
      <c r="X19" s="135"/>
      <c r="Y19" s="32"/>
      <c r="Z19" s="30"/>
    </row>
    <row r="20" spans="2:28" ht="20.25" customHeight="1" x14ac:dyDescent="0.35">
      <c r="B20" s="30"/>
      <c r="C20" s="32"/>
      <c r="D20" s="282"/>
      <c r="E20" s="282"/>
      <c r="F20" s="282"/>
      <c r="G20" s="282"/>
      <c r="H20" s="282"/>
      <c r="I20" s="282"/>
      <c r="J20" s="282"/>
      <c r="K20" s="282"/>
      <c r="L20" s="282"/>
      <c r="M20" s="41"/>
      <c r="N20" s="30"/>
      <c r="O20" s="32"/>
      <c r="P20" s="261" t="s">
        <v>334</v>
      </c>
      <c r="Q20" s="261"/>
      <c r="R20" s="50"/>
      <c r="S20" s="50"/>
      <c r="T20" s="50"/>
      <c r="U20" s="50"/>
      <c r="V20" s="50"/>
      <c r="W20" s="50"/>
      <c r="X20" s="135"/>
      <c r="Y20" s="32"/>
      <c r="Z20" s="30"/>
    </row>
    <row r="21" spans="2:28" ht="15.75" customHeight="1" x14ac:dyDescent="0.35">
      <c r="B21" s="30"/>
      <c r="C21" s="32"/>
      <c r="D21" s="44"/>
      <c r="E21" s="252" t="s">
        <v>355</v>
      </c>
      <c r="F21" s="252"/>
      <c r="G21" s="252"/>
      <c r="H21" s="252"/>
      <c r="I21" s="252"/>
      <c r="J21" s="252"/>
      <c r="K21" s="252"/>
      <c r="L21" s="252"/>
      <c r="M21" s="41"/>
      <c r="N21" s="30"/>
      <c r="O21" s="32"/>
      <c r="P21" s="261"/>
      <c r="Q21" s="261"/>
      <c r="R21" s="283"/>
      <c r="S21" s="284"/>
      <c r="T21" s="284"/>
      <c r="U21" s="285"/>
      <c r="V21" s="50"/>
      <c r="W21" s="50"/>
      <c r="X21" s="135"/>
      <c r="Y21" s="32"/>
      <c r="Z21" s="30"/>
      <c r="AB21" s="27"/>
    </row>
    <row r="22" spans="2:28" ht="20.5" x14ac:dyDescent="0.45">
      <c r="B22" s="30"/>
      <c r="C22" s="32"/>
      <c r="D22" s="44"/>
      <c r="E22" s="252"/>
      <c r="F22" s="252"/>
      <c r="G22" s="252"/>
      <c r="H22" s="252"/>
      <c r="I22" s="252"/>
      <c r="J22" s="252"/>
      <c r="K22" s="252"/>
      <c r="L22" s="252"/>
      <c r="M22" s="41"/>
      <c r="N22" s="30"/>
      <c r="O22" s="32"/>
      <c r="P22" s="48"/>
      <c r="Q22" s="261" t="s">
        <v>335</v>
      </c>
      <c r="R22" s="48"/>
      <c r="S22" s="48"/>
      <c r="T22" s="48"/>
      <c r="U22" s="48"/>
      <c r="V22" s="48"/>
      <c r="W22" s="48"/>
      <c r="X22" s="135"/>
      <c r="Y22" s="32"/>
      <c r="Z22" s="30"/>
      <c r="AB22" s="27"/>
    </row>
    <row r="23" spans="2:28" ht="14.25" customHeight="1" x14ac:dyDescent="0.45">
      <c r="B23" s="30"/>
      <c r="C23" s="32"/>
      <c r="D23" s="147"/>
      <c r="E23" s="40"/>
      <c r="F23" s="40"/>
      <c r="G23" s="40"/>
      <c r="H23" s="40"/>
      <c r="I23" s="40"/>
      <c r="J23" s="40"/>
      <c r="K23" s="251" t="s">
        <v>2</v>
      </c>
      <c r="L23" s="251"/>
      <c r="M23" s="41"/>
      <c r="N23" s="30"/>
      <c r="O23" s="48"/>
      <c r="P23" s="48"/>
      <c r="Q23" s="261"/>
      <c r="R23" s="283"/>
      <c r="S23" s="284"/>
      <c r="T23" s="284"/>
      <c r="U23" s="285"/>
      <c r="V23" s="50"/>
      <c r="W23" s="50"/>
      <c r="X23" s="135"/>
      <c r="Y23" s="48"/>
      <c r="Z23" s="49"/>
    </row>
    <row r="24" spans="2:28" ht="14.5" customHeight="1" x14ac:dyDescent="0.45">
      <c r="B24" s="30"/>
      <c r="C24" s="32"/>
      <c r="D24" s="40"/>
      <c r="E24" s="39" t="s">
        <v>7</v>
      </c>
      <c r="F24" s="264"/>
      <c r="G24" s="265"/>
      <c r="H24" s="38" t="s">
        <v>298</v>
      </c>
      <c r="I24" s="38"/>
      <c r="J24" s="38"/>
      <c r="K24" s="266" t="e">
        <f>TEXT(ROUND('Tool Calc Sheet'!D15,VLOOKUP('Tool Calc Sheet'!D15,'Tool Calc Sheet'!$O$191:$P$198,2,TRUE)),"#,###0")&amp;" m³/year"</f>
        <v>#N/A</v>
      </c>
      <c r="L24" s="266"/>
      <c r="M24" s="38"/>
      <c r="N24" s="30"/>
      <c r="O24" s="48"/>
      <c r="P24" s="32"/>
      <c r="Q24" s="254" t="s">
        <v>362</v>
      </c>
      <c r="R24" s="254"/>
      <c r="S24" s="254"/>
      <c r="T24" s="254"/>
      <c r="U24" s="254"/>
      <c r="V24" s="254"/>
      <c r="W24" s="254"/>
      <c r="X24" s="254"/>
      <c r="Y24" s="48"/>
      <c r="Z24" s="49"/>
    </row>
    <row r="25" spans="2:28" ht="20.5" x14ac:dyDescent="0.45">
      <c r="B25" s="30"/>
      <c r="C25" s="32"/>
      <c r="D25" s="147"/>
      <c r="E25" s="38"/>
      <c r="F25" s="38"/>
      <c r="G25" s="38"/>
      <c r="H25" s="38"/>
      <c r="I25" s="38"/>
      <c r="J25" s="38"/>
      <c r="K25" s="38"/>
      <c r="L25" s="147"/>
      <c r="M25" s="41"/>
      <c r="N25" s="30"/>
      <c r="O25" s="32"/>
      <c r="P25" s="48"/>
      <c r="Q25" s="254"/>
      <c r="R25" s="254"/>
      <c r="S25" s="254"/>
      <c r="T25" s="254"/>
      <c r="U25" s="254"/>
      <c r="V25" s="254"/>
      <c r="W25" s="254"/>
      <c r="X25" s="254"/>
      <c r="Y25" s="32"/>
      <c r="Z25" s="30"/>
    </row>
    <row r="26" spans="2:28" ht="14.5" customHeight="1" x14ac:dyDescent="0.45">
      <c r="B26" s="30"/>
      <c r="C26" s="32"/>
      <c r="D26" s="40"/>
      <c r="E26" s="39" t="s">
        <v>8</v>
      </c>
      <c r="F26" s="264"/>
      <c r="G26" s="265"/>
      <c r="H26" s="38" t="s">
        <v>299</v>
      </c>
      <c r="I26" s="38"/>
      <c r="J26" s="38"/>
      <c r="K26" s="266" t="str">
        <f>TEXT(
IFERROR(ROUND('Tool Calc Sheet'!D20,VLOOKUP('Tool Calc Sheet'!D20,'Tool Calc Sheet'!$O$191:$P$198,2,TRUE)),),"#,###0")&amp;" kWh/year"</f>
        <v>0 kWh/year</v>
      </c>
      <c r="L26" s="266"/>
      <c r="M26" s="38"/>
      <c r="N26" s="30"/>
      <c r="O26" s="48"/>
      <c r="P26" s="32"/>
      <c r="Q26" s="254"/>
      <c r="R26" s="254"/>
      <c r="S26" s="254"/>
      <c r="T26" s="254"/>
      <c r="U26" s="254"/>
      <c r="V26" s="254"/>
      <c r="W26" s="254"/>
      <c r="X26" s="254"/>
      <c r="Y26" s="48"/>
      <c r="Z26" s="49"/>
    </row>
    <row r="27" spans="2:28" ht="15.65" customHeight="1" x14ac:dyDescent="0.4">
      <c r="B27" s="30"/>
      <c r="C27" s="32"/>
      <c r="D27" s="40"/>
      <c r="E27" s="32"/>
      <c r="F27" s="32"/>
      <c r="G27" s="32"/>
      <c r="H27" s="32"/>
      <c r="I27" s="32"/>
      <c r="J27" s="32"/>
      <c r="K27" s="32"/>
      <c r="L27" s="32"/>
      <c r="M27" s="38"/>
      <c r="N27" s="30"/>
      <c r="O27" s="50"/>
      <c r="P27" s="261" t="s">
        <v>10</v>
      </c>
      <c r="Q27" s="261"/>
      <c r="R27" s="55"/>
      <c r="S27" s="55"/>
      <c r="T27" s="56"/>
      <c r="U27" s="56"/>
      <c r="V27" s="32"/>
      <c r="W27" s="58" t="s">
        <v>2</v>
      </c>
      <c r="X27" s="52"/>
      <c r="Y27" s="50"/>
      <c r="Z27" s="51"/>
    </row>
    <row r="28" spans="2:28" ht="15.65" customHeight="1" x14ac:dyDescent="0.35">
      <c r="B28" s="30"/>
      <c r="C28" s="32"/>
      <c r="D28" s="40"/>
      <c r="E28" s="252" t="s">
        <v>359</v>
      </c>
      <c r="F28" s="252"/>
      <c r="G28" s="252"/>
      <c r="H28" s="252"/>
      <c r="I28" s="252"/>
      <c r="J28" s="252"/>
      <c r="K28" s="252"/>
      <c r="L28" s="252"/>
      <c r="M28" s="42"/>
      <c r="N28" s="30"/>
      <c r="O28" s="50"/>
      <c r="P28" s="261"/>
      <c r="Q28" s="261"/>
      <c r="R28" s="315"/>
      <c r="S28" s="259"/>
      <c r="T28" s="259"/>
      <c r="U28" s="260"/>
      <c r="V28" s="38"/>
      <c r="W28" s="166" t="s">
        <v>11</v>
      </c>
      <c r="X28" s="32"/>
      <c r="Y28" s="50"/>
      <c r="Z28" s="51"/>
    </row>
    <row r="29" spans="2:28" ht="15" customHeight="1" x14ac:dyDescent="0.35">
      <c r="B29" s="30"/>
      <c r="C29" s="32"/>
      <c r="D29" s="40"/>
      <c r="E29" s="32"/>
      <c r="F29" s="264"/>
      <c r="G29" s="265"/>
      <c r="H29" s="32"/>
      <c r="I29" s="32"/>
      <c r="J29" s="32"/>
      <c r="K29" s="32"/>
      <c r="L29" s="32"/>
      <c r="M29" s="42"/>
      <c r="N29" s="30"/>
      <c r="O29" s="50"/>
      <c r="P29" s="261" t="s">
        <v>12</v>
      </c>
      <c r="Q29" s="261"/>
      <c r="R29" s="83"/>
      <c r="S29" s="83"/>
      <c r="T29" s="84"/>
      <c r="U29" s="84"/>
      <c r="V29" s="38"/>
      <c r="W29" s="167"/>
      <c r="X29" s="32"/>
      <c r="Y29" s="50"/>
      <c r="Z29" s="51"/>
    </row>
    <row r="30" spans="2:28" ht="14.25" customHeight="1" x14ac:dyDescent="0.45">
      <c r="B30" s="30"/>
      <c r="C30" s="32"/>
      <c r="D30" s="40"/>
      <c r="E30" s="261" t="s">
        <v>283</v>
      </c>
      <c r="F30" s="32"/>
      <c r="G30" s="32"/>
      <c r="H30" s="32"/>
      <c r="I30" s="32"/>
      <c r="J30" s="32"/>
      <c r="K30" s="32"/>
      <c r="L30" s="32"/>
      <c r="M30" s="40"/>
      <c r="N30" s="30"/>
      <c r="O30" s="48"/>
      <c r="P30" s="261"/>
      <c r="Q30" s="261"/>
      <c r="R30" s="258"/>
      <c r="S30" s="259"/>
      <c r="T30" s="259"/>
      <c r="U30" s="260"/>
      <c r="V30" s="38"/>
      <c r="W30" s="166" t="s">
        <v>11</v>
      </c>
      <c r="X30" s="32"/>
      <c r="Y30" s="48"/>
      <c r="Z30" s="49"/>
    </row>
    <row r="31" spans="2:28" ht="15" customHeight="1" x14ac:dyDescent="0.35">
      <c r="B31" s="30"/>
      <c r="C31" s="32"/>
      <c r="D31" s="40"/>
      <c r="E31" s="261"/>
      <c r="F31" s="262"/>
      <c r="G31" s="263"/>
      <c r="H31" s="38" t="s">
        <v>352</v>
      </c>
      <c r="I31" s="38"/>
      <c r="J31" s="38"/>
      <c r="K31" s="252" t="str">
        <f>TEXT(
IFERROR(ROUND('Tool Calc Sheet'!D25,VLOOKUP('Tool Calc Sheet'!D25,'Tool Calc Sheet'!$O$191:$P$198,2,TRUE)),),"#,###0")&amp;" ekWh/year"</f>
        <v>0 ekWh/year</v>
      </c>
      <c r="L31" s="252"/>
      <c r="M31" s="40"/>
      <c r="N31" s="30"/>
      <c r="O31" s="50"/>
      <c r="P31" s="261" t="s">
        <v>13</v>
      </c>
      <c r="Q31" s="261"/>
      <c r="R31" s="83"/>
      <c r="S31" s="83"/>
      <c r="T31" s="84"/>
      <c r="U31" s="84"/>
      <c r="V31" s="38"/>
      <c r="W31" s="167"/>
      <c r="X31" s="32"/>
      <c r="Y31" s="50"/>
      <c r="Z31" s="51"/>
    </row>
    <row r="32" spans="2:28" ht="15" customHeight="1" x14ac:dyDescent="0.35">
      <c r="B32" s="30"/>
      <c r="C32" s="32"/>
      <c r="D32" s="40"/>
      <c r="E32" s="165"/>
      <c r="F32" s="38"/>
      <c r="G32" s="38"/>
      <c r="H32" s="38"/>
      <c r="I32" s="38"/>
      <c r="J32" s="38"/>
      <c r="K32" s="40"/>
      <c r="L32" s="40"/>
      <c r="M32" s="40"/>
      <c r="N32" s="30"/>
      <c r="O32" s="50"/>
      <c r="P32" s="261"/>
      <c r="Q32" s="261"/>
      <c r="R32" s="83"/>
      <c r="S32" s="83"/>
      <c r="T32" s="84"/>
      <c r="U32" s="84"/>
      <c r="V32" s="38"/>
      <c r="W32" s="167"/>
      <c r="X32" s="32"/>
      <c r="Y32" s="50"/>
      <c r="Z32" s="51"/>
    </row>
    <row r="33" spans="2:26" ht="15.75" customHeight="1" x14ac:dyDescent="0.35">
      <c r="B33" s="30"/>
      <c r="C33" s="32"/>
      <c r="D33" s="40"/>
      <c r="E33" s="254" t="s">
        <v>266</v>
      </c>
      <c r="F33" s="254"/>
      <c r="G33" s="254"/>
      <c r="H33" s="254"/>
      <c r="I33" s="254"/>
      <c r="J33" s="254"/>
      <c r="K33" s="254"/>
      <c r="L33" s="254"/>
      <c r="M33" s="33"/>
      <c r="N33" s="30"/>
      <c r="O33" s="50"/>
      <c r="P33" s="261"/>
      <c r="Q33" s="261"/>
      <c r="R33" s="258"/>
      <c r="S33" s="259"/>
      <c r="T33" s="259"/>
      <c r="U33" s="260"/>
      <c r="V33" s="38"/>
      <c r="W33" s="166" t="s">
        <v>11</v>
      </c>
      <c r="X33" s="32"/>
      <c r="Y33" s="50"/>
      <c r="Z33" s="51"/>
    </row>
    <row r="34" spans="2:26" ht="20.5" x14ac:dyDescent="0.35">
      <c r="B34" s="30"/>
      <c r="C34" s="32"/>
      <c r="D34" s="40"/>
      <c r="E34" s="254"/>
      <c r="F34" s="254"/>
      <c r="G34" s="254"/>
      <c r="H34" s="254"/>
      <c r="I34" s="254"/>
      <c r="J34" s="254"/>
      <c r="K34" s="254"/>
      <c r="L34" s="254"/>
      <c r="M34" s="33"/>
      <c r="N34" s="30"/>
      <c r="O34" s="50"/>
      <c r="P34" s="43"/>
      <c r="Q34" s="84"/>
      <c r="R34" s="84"/>
      <c r="S34" s="84"/>
      <c r="T34" s="84"/>
      <c r="U34" s="84"/>
      <c r="V34" s="84"/>
      <c r="W34" s="166"/>
      <c r="X34" s="32"/>
      <c r="Y34" s="50"/>
      <c r="Z34" s="51"/>
    </row>
    <row r="35" spans="2:26" ht="15" customHeight="1" x14ac:dyDescent="0.35">
      <c r="B35" s="30"/>
      <c r="C35" s="32"/>
      <c r="D35" s="40"/>
      <c r="E35" s="135"/>
      <c r="F35" s="135"/>
      <c r="G35" s="135"/>
      <c r="H35" s="135"/>
      <c r="I35" s="135"/>
      <c r="J35" s="135"/>
      <c r="K35" s="327" t="s">
        <v>2</v>
      </c>
      <c r="L35" s="327"/>
      <c r="M35" s="38"/>
      <c r="N35" s="30"/>
      <c r="O35" s="50"/>
      <c r="P35" s="43"/>
      <c r="Q35" s="43" t="s">
        <v>263</v>
      </c>
      <c r="R35" s="255"/>
      <c r="S35" s="256"/>
      <c r="T35" s="256"/>
      <c r="U35" s="257"/>
      <c r="V35" s="38"/>
      <c r="W35" s="166" t="s">
        <v>15</v>
      </c>
      <c r="X35" s="32"/>
      <c r="Y35" s="50"/>
      <c r="Z35" s="51"/>
    </row>
    <row r="36" spans="2:26" ht="15" customHeight="1" x14ac:dyDescent="0.35">
      <c r="B36" s="30"/>
      <c r="C36" s="32"/>
      <c r="D36" s="40"/>
      <c r="E36" s="39" t="s">
        <v>261</v>
      </c>
      <c r="F36" s="262"/>
      <c r="G36" s="263"/>
      <c r="H36" s="38" t="s">
        <v>14</v>
      </c>
      <c r="I36" s="38"/>
      <c r="J36" s="38"/>
      <c r="K36" s="274" t="str">
        <f>TEXT(ROUND('Tool Calc Sheet'!D32,3),"$0.#0")&amp;" / m³"</f>
        <v>$0.15 / m³</v>
      </c>
      <c r="L36" s="274"/>
      <c r="M36" s="38"/>
      <c r="N36" s="30"/>
      <c r="O36" s="50"/>
      <c r="P36" s="43"/>
      <c r="Q36" s="84"/>
      <c r="R36" s="84"/>
      <c r="S36" s="84"/>
      <c r="T36" s="84"/>
      <c r="U36" s="84"/>
      <c r="V36" s="84"/>
      <c r="W36" s="166"/>
      <c r="X36" s="32"/>
      <c r="Y36" s="50"/>
      <c r="Z36" s="51"/>
    </row>
    <row r="37" spans="2:26" x14ac:dyDescent="0.35">
      <c r="B37" s="30"/>
      <c r="C37" s="32"/>
      <c r="D37" s="311" t="s">
        <v>262</v>
      </c>
      <c r="E37" s="311"/>
      <c r="F37" s="38"/>
      <c r="G37" s="38"/>
      <c r="H37" s="40"/>
      <c r="I37" s="40"/>
      <c r="J37" s="38"/>
      <c r="K37" s="43"/>
      <c r="L37" s="43"/>
      <c r="M37" s="38"/>
      <c r="N37" s="30"/>
      <c r="O37" s="32"/>
      <c r="P37" s="43"/>
      <c r="Q37" s="43" t="s">
        <v>17</v>
      </c>
      <c r="R37" s="258"/>
      <c r="S37" s="259"/>
      <c r="T37" s="259"/>
      <c r="U37" s="260"/>
      <c r="V37" s="38"/>
      <c r="W37" s="166">
        <v>0.04</v>
      </c>
      <c r="X37" s="32"/>
      <c r="Y37" s="32"/>
      <c r="Z37" s="30"/>
    </row>
    <row r="38" spans="2:26" x14ac:dyDescent="0.35">
      <c r="B38" s="30"/>
      <c r="C38" s="32"/>
      <c r="D38" s="311"/>
      <c r="E38" s="311"/>
      <c r="F38" s="262"/>
      <c r="G38" s="263"/>
      <c r="H38" s="38" t="s">
        <v>16</v>
      </c>
      <c r="I38" s="38"/>
      <c r="J38" s="38"/>
      <c r="K38" s="274" t="str">
        <f>TEXT(ROUND('Tool Calc Sheet'!D36,3),"$0.#0")&amp;" / kWh"</f>
        <v>$0.13 / kWh</v>
      </c>
      <c r="L38" s="274"/>
      <c r="M38" s="38"/>
      <c r="N38" s="30"/>
      <c r="O38" s="32"/>
      <c r="P38" s="39"/>
      <c r="Q38" s="39"/>
      <c r="R38" s="39"/>
      <c r="S38" s="39"/>
      <c r="T38" s="39"/>
      <c r="U38" s="39"/>
      <c r="V38" s="39"/>
      <c r="W38" s="39"/>
      <c r="X38" s="39"/>
      <c r="Y38" s="32"/>
      <c r="Z38" s="30"/>
    </row>
    <row r="39" spans="2:26" ht="15.75" customHeight="1" x14ac:dyDescent="0.45">
      <c r="B39" s="30"/>
      <c r="C39" s="32"/>
      <c r="D39" s="147"/>
      <c r="E39" s="261" t="s">
        <v>284</v>
      </c>
      <c r="F39" s="38"/>
      <c r="G39" s="38"/>
      <c r="H39" s="38"/>
      <c r="I39" s="38"/>
      <c r="J39" s="38"/>
      <c r="K39" s="38"/>
      <c r="L39" s="147"/>
      <c r="M39" s="41"/>
      <c r="N39" s="30"/>
      <c r="O39" s="32"/>
      <c r="P39" s="48"/>
      <c r="Q39" s="135"/>
      <c r="R39" s="135"/>
      <c r="S39" s="135"/>
      <c r="T39" s="135"/>
      <c r="U39" s="135"/>
      <c r="V39" s="135"/>
      <c r="W39" s="135"/>
      <c r="X39" s="135"/>
      <c r="Y39" s="32"/>
      <c r="Z39" s="30"/>
    </row>
    <row r="40" spans="2:26" ht="15" customHeight="1" x14ac:dyDescent="0.35">
      <c r="B40" s="30"/>
      <c r="C40" s="32"/>
      <c r="D40" s="44"/>
      <c r="E40" s="261"/>
      <c r="F40" s="262"/>
      <c r="G40" s="263"/>
      <c r="H40" s="38" t="s">
        <v>353</v>
      </c>
      <c r="I40" s="38"/>
      <c r="J40" s="32"/>
      <c r="K40" s="274" t="str">
        <f>TEXT(ROUND('Tool Calc Sheet'!D39,3),"$0.#0")&amp;" / ekWh     ⓘ "</f>
        <v xml:space="preserve">$0.11 / ekWh     ⓘ </v>
      </c>
      <c r="L40" s="274"/>
      <c r="M40" s="40"/>
      <c r="N40" s="30"/>
      <c r="O40" s="32"/>
      <c r="P40" s="261" t="s">
        <v>267</v>
      </c>
      <c r="Q40" s="261"/>
      <c r="R40" s="271" t="s">
        <v>234</v>
      </c>
      <c r="S40" s="272"/>
      <c r="T40" s="272"/>
      <c r="U40" s="272"/>
      <c r="V40" s="272"/>
      <c r="W40" s="273"/>
      <c r="X40" s="32"/>
      <c r="Y40" s="32"/>
      <c r="Z40" s="30"/>
    </row>
    <row r="41" spans="2:26" ht="14.5" customHeight="1" x14ac:dyDescent="0.4">
      <c r="B41" s="30"/>
      <c r="C41" s="32"/>
      <c r="D41" s="44"/>
      <c r="E41" s="43"/>
      <c r="F41" s="38"/>
      <c r="G41" s="38"/>
      <c r="H41" s="38"/>
      <c r="I41" s="38"/>
      <c r="J41" s="38"/>
      <c r="K41" s="38"/>
      <c r="L41" s="32"/>
      <c r="M41" s="40"/>
      <c r="N41" s="30"/>
      <c r="O41" s="32"/>
      <c r="P41" s="43"/>
      <c r="Q41" s="43"/>
      <c r="R41" s="54"/>
      <c r="S41" s="54"/>
      <c r="T41" s="54"/>
      <c r="U41" s="54"/>
      <c r="V41" s="54"/>
      <c r="W41" s="54"/>
      <c r="X41" s="32"/>
      <c r="Y41" s="52"/>
      <c r="Z41" s="30"/>
    </row>
    <row r="42" spans="2:26" x14ac:dyDescent="0.35">
      <c r="B42" s="30"/>
      <c r="C42" s="32"/>
      <c r="D42" s="328" t="s">
        <v>268</v>
      </c>
      <c r="E42" s="328"/>
      <c r="F42" s="328"/>
      <c r="G42" s="328"/>
      <c r="H42" s="328"/>
      <c r="I42" s="328"/>
      <c r="J42" s="328"/>
      <c r="K42" s="328"/>
      <c r="L42" s="328"/>
      <c r="M42" s="40"/>
      <c r="N42" s="30"/>
      <c r="O42" s="32"/>
      <c r="P42" s="53"/>
      <c r="Q42" s="39"/>
      <c r="R42" s="207">
        <v>2025</v>
      </c>
      <c r="S42" s="208">
        <v>2030</v>
      </c>
      <c r="T42" s="208">
        <v>2035</v>
      </c>
      <c r="U42" s="208">
        <v>2040</v>
      </c>
      <c r="V42" s="208">
        <v>2045</v>
      </c>
      <c r="W42" s="209">
        <v>2050</v>
      </c>
      <c r="X42" s="32"/>
      <c r="Y42" s="32"/>
      <c r="Z42" s="30"/>
    </row>
    <row r="43" spans="2:26" x14ac:dyDescent="0.35">
      <c r="B43" s="30"/>
      <c r="C43" s="32"/>
      <c r="D43" s="328"/>
      <c r="E43" s="328"/>
      <c r="F43" s="328"/>
      <c r="G43" s="328"/>
      <c r="H43" s="328"/>
      <c r="I43" s="328"/>
      <c r="J43" s="328"/>
      <c r="K43" s="328"/>
      <c r="L43" s="328"/>
      <c r="M43" s="40"/>
      <c r="N43" s="30"/>
      <c r="O43" s="32"/>
      <c r="P43" s="53"/>
      <c r="Q43" s="39" t="s">
        <v>19</v>
      </c>
      <c r="R43" s="200">
        <f>'Tool Calc Sheet'!F121</f>
        <v>0.16800000000000001</v>
      </c>
      <c r="S43" s="201">
        <f>'Tool Calc Sheet'!K121</f>
        <v>0.16300000000000001</v>
      </c>
      <c r="T43" s="201">
        <f>'Tool Calc Sheet'!P121</f>
        <v>0.16300000000000001</v>
      </c>
      <c r="U43" s="201">
        <f>'Tool Calc Sheet'!U121</f>
        <v>0.16300000000000001</v>
      </c>
      <c r="V43" s="201">
        <f>'Tool Calc Sheet'!Z121</f>
        <v>0.16300000000000001</v>
      </c>
      <c r="W43" s="202">
        <f>'Tool Calc Sheet'!AE121</f>
        <v>0.16300000000000001</v>
      </c>
      <c r="X43" s="144" t="s">
        <v>354</v>
      </c>
      <c r="Y43" s="32"/>
      <c r="Z43" s="30"/>
    </row>
    <row r="44" spans="2:26" ht="19.5" customHeight="1" x14ac:dyDescent="0.35">
      <c r="B44" s="30"/>
      <c r="C44" s="32"/>
      <c r="D44" s="32"/>
      <c r="E44" s="32"/>
      <c r="F44" s="32"/>
      <c r="G44" s="32"/>
      <c r="H44" s="32"/>
      <c r="I44" s="32"/>
      <c r="J44" s="32"/>
      <c r="K44" s="32"/>
      <c r="L44" s="32"/>
      <c r="M44" s="40"/>
      <c r="N44" s="30"/>
      <c r="O44" s="32"/>
      <c r="P44" s="53"/>
      <c r="Q44" s="39" t="s">
        <v>20</v>
      </c>
      <c r="R44" s="200">
        <f>'Tool Calc Sheet'!F122</f>
        <v>0.05</v>
      </c>
      <c r="S44" s="201">
        <f>'Tool Calc Sheet'!K122</f>
        <v>0.05</v>
      </c>
      <c r="T44" s="201">
        <f>'Tool Calc Sheet'!P122</f>
        <v>0.03</v>
      </c>
      <c r="U44" s="201">
        <f>'Tool Calc Sheet'!U122</f>
        <v>1.4999999999999999E-2</v>
      </c>
      <c r="V44" s="201">
        <f>'Tool Calc Sheet'!Z122</f>
        <v>0.01</v>
      </c>
      <c r="W44" s="202">
        <f>'Tool Calc Sheet'!AE122</f>
        <v>0.01</v>
      </c>
      <c r="X44" s="144" t="s">
        <v>296</v>
      </c>
      <c r="Y44" s="32"/>
      <c r="Z44" s="30"/>
    </row>
    <row r="45" spans="2:26" ht="19.5" customHeight="1" x14ac:dyDescent="0.35">
      <c r="B45" s="30"/>
      <c r="C45" s="32"/>
      <c r="D45" s="32"/>
      <c r="E45" s="314" t="s">
        <v>360</v>
      </c>
      <c r="F45" s="302"/>
      <c r="G45" s="303"/>
      <c r="H45" s="304"/>
      <c r="I45" s="32"/>
      <c r="J45" s="32"/>
      <c r="K45" s="32"/>
      <c r="L45" s="32"/>
      <c r="M45" s="46"/>
      <c r="N45" s="30"/>
      <c r="O45" s="32"/>
      <c r="P45" s="53"/>
      <c r="Q45" s="39" t="s">
        <v>320</v>
      </c>
      <c r="R45" s="200">
        <f>'Tool Calc Sheet'!F123</f>
        <v>0.21718829665774589</v>
      </c>
      <c r="S45" s="201">
        <f>'Tool Calc Sheet'!K123</f>
        <v>0.21718829665774589</v>
      </c>
      <c r="T45" s="201">
        <f>'Tool Calc Sheet'!P123</f>
        <v>0.21718829665774589</v>
      </c>
      <c r="U45" s="201">
        <f>'Tool Calc Sheet'!U123</f>
        <v>0.21718829665774589</v>
      </c>
      <c r="V45" s="201">
        <f>'Tool Calc Sheet'!Z123</f>
        <v>0.21718829665774589</v>
      </c>
      <c r="W45" s="202">
        <f>'Tool Calc Sheet'!AE123</f>
        <v>0.21718829665774589</v>
      </c>
      <c r="X45" s="144" t="s">
        <v>354</v>
      </c>
      <c r="Y45" s="32"/>
      <c r="Z45" s="30"/>
    </row>
    <row r="46" spans="2:26" ht="19.5" customHeight="1" x14ac:dyDescent="0.35">
      <c r="B46" s="30"/>
      <c r="C46" s="32"/>
      <c r="D46" s="32"/>
      <c r="E46" s="314"/>
      <c r="F46" s="305"/>
      <c r="G46" s="306"/>
      <c r="H46" s="307"/>
      <c r="I46" s="32"/>
      <c r="J46" s="32"/>
      <c r="K46" s="32"/>
      <c r="L46" s="32"/>
      <c r="M46" s="32"/>
      <c r="N46" s="30"/>
      <c r="O46" s="32"/>
      <c r="P46" s="53"/>
      <c r="Q46" s="39" t="s">
        <v>22</v>
      </c>
      <c r="R46" s="200">
        <f>IFERROR('Tool Calc Sheet'!F144,0)</f>
        <v>0</v>
      </c>
      <c r="S46" s="201">
        <f>'Tool Calc Sheet'!K144</f>
        <v>0</v>
      </c>
      <c r="T46" s="201">
        <f>'Tool Calc Sheet'!P144</f>
        <v>0</v>
      </c>
      <c r="U46" s="201">
        <f>'Tool Calc Sheet'!U144</f>
        <v>0</v>
      </c>
      <c r="V46" s="201">
        <f>'Tool Calc Sheet'!Z144</f>
        <v>0</v>
      </c>
      <c r="W46" s="202">
        <f>'Tool Calc Sheet'!AE144</f>
        <v>0</v>
      </c>
      <c r="X46" s="144" t="s">
        <v>297</v>
      </c>
      <c r="Y46" s="32"/>
      <c r="Z46" s="30"/>
    </row>
    <row r="47" spans="2:26" ht="19.5" customHeight="1" x14ac:dyDescent="0.35">
      <c r="B47" s="30"/>
      <c r="C47" s="32"/>
      <c r="D47" s="32"/>
      <c r="E47" s="32"/>
      <c r="F47" s="308"/>
      <c r="G47" s="309"/>
      <c r="H47" s="310"/>
      <c r="I47" s="145"/>
      <c r="J47" s="145"/>
      <c r="K47" s="32"/>
      <c r="L47" s="32"/>
      <c r="M47" s="32"/>
      <c r="N47" s="30"/>
      <c r="O47" s="32"/>
      <c r="P47" s="261" t="s">
        <v>23</v>
      </c>
      <c r="Q47" s="261"/>
      <c r="R47" s="206"/>
      <c r="S47" s="203"/>
      <c r="T47" s="203"/>
      <c r="U47" s="203"/>
      <c r="V47" s="203"/>
      <c r="W47" s="204"/>
      <c r="X47" s="144" t="s">
        <v>297</v>
      </c>
      <c r="Y47" s="32"/>
      <c r="Z47" s="30"/>
    </row>
    <row r="48" spans="2:26" ht="19.5" customHeight="1" x14ac:dyDescent="0.35">
      <c r="B48" s="30"/>
      <c r="C48" s="32"/>
      <c r="D48" s="32"/>
      <c r="E48" s="39"/>
      <c r="F48" s="253" t="s">
        <v>361</v>
      </c>
      <c r="G48" s="253"/>
      <c r="H48" s="253"/>
      <c r="I48" s="253"/>
      <c r="J48" s="253"/>
      <c r="K48" s="253"/>
      <c r="L48" s="32"/>
      <c r="M48" s="32"/>
      <c r="N48" s="30"/>
      <c r="O48" s="32"/>
      <c r="P48" s="32"/>
      <c r="Q48" s="32"/>
      <c r="R48" s="32"/>
      <c r="S48" s="32"/>
      <c r="T48" s="32"/>
      <c r="U48" s="32"/>
      <c r="V48" s="32"/>
      <c r="W48" s="32"/>
      <c r="X48" s="32"/>
      <c r="Y48" s="32"/>
      <c r="Z48" s="30"/>
    </row>
    <row r="49" spans="1:28" ht="20.25" customHeight="1" x14ac:dyDescent="0.35">
      <c r="B49" s="30"/>
      <c r="C49" s="32"/>
      <c r="D49" s="32"/>
      <c r="E49" s="32"/>
      <c r="F49" s="253"/>
      <c r="G49" s="253"/>
      <c r="H49" s="253"/>
      <c r="I49" s="253"/>
      <c r="J49" s="253"/>
      <c r="K49" s="253"/>
      <c r="L49" s="146"/>
      <c r="M49" s="32"/>
      <c r="N49" s="30"/>
      <c r="O49" s="32"/>
      <c r="P49" s="32"/>
      <c r="Q49" s="32"/>
      <c r="R49" s="32"/>
      <c r="S49" s="32"/>
      <c r="T49" s="32"/>
      <c r="U49" s="32"/>
      <c r="V49" s="32"/>
      <c r="W49" s="32"/>
      <c r="X49" s="32"/>
      <c r="Y49" s="32"/>
      <c r="Z49" s="30"/>
    </row>
    <row r="50" spans="1:28" s="27" customFormat="1" ht="15" customHeight="1" x14ac:dyDescent="0.35">
      <c r="A50" s="28"/>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29"/>
      <c r="AB50" s="29"/>
    </row>
    <row r="51" spans="1:28" s="27" customFormat="1" ht="7.5" customHeight="1" x14ac:dyDescent="0.35">
      <c r="A51" s="28"/>
      <c r="B51" s="30"/>
      <c r="C51" s="29"/>
      <c r="D51" s="29"/>
      <c r="E51" s="29"/>
      <c r="F51" s="29"/>
      <c r="G51" s="29"/>
      <c r="H51" s="29"/>
      <c r="I51" s="29"/>
      <c r="J51" s="29"/>
      <c r="K51" s="29"/>
      <c r="L51" s="29"/>
      <c r="M51" s="29"/>
      <c r="N51" s="29"/>
      <c r="O51" s="29"/>
      <c r="P51" s="29"/>
      <c r="Q51" s="29"/>
      <c r="R51" s="29"/>
      <c r="S51" s="29"/>
      <c r="T51" s="29"/>
      <c r="U51" s="29"/>
      <c r="V51" s="29"/>
      <c r="W51" s="29"/>
      <c r="X51" s="29"/>
      <c r="Y51" s="29"/>
      <c r="Z51" s="30"/>
      <c r="AA51" s="29"/>
      <c r="AB51" s="29"/>
    </row>
    <row r="52" spans="1:28" s="27" customFormat="1" ht="15" customHeight="1" x14ac:dyDescent="0.35">
      <c r="A52" s="28"/>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29"/>
      <c r="AB52" s="29"/>
    </row>
    <row r="53" spans="1:28" s="27" customFormat="1" ht="15.75" customHeight="1" x14ac:dyDescent="0.4">
      <c r="A53" s="28"/>
      <c r="B53" s="30"/>
      <c r="C53" s="333" t="s">
        <v>272</v>
      </c>
      <c r="D53" s="333"/>
      <c r="E53" s="333"/>
      <c r="F53" s="333"/>
      <c r="G53" s="333"/>
      <c r="H53" s="59"/>
      <c r="I53" s="153"/>
      <c r="J53" s="60"/>
      <c r="K53" s="150"/>
      <c r="L53" s="150"/>
      <c r="M53" s="150"/>
      <c r="N53" s="150"/>
      <c r="O53" s="150"/>
      <c r="P53" s="150"/>
      <c r="Q53" s="60"/>
      <c r="R53" s="60"/>
      <c r="S53" s="60"/>
      <c r="T53" s="60"/>
      <c r="U53" s="60"/>
      <c r="V53" s="60"/>
      <c r="W53" s="60"/>
      <c r="X53" s="60"/>
      <c r="Y53" s="60"/>
      <c r="Z53" s="30"/>
      <c r="AA53" s="29"/>
      <c r="AB53" s="29"/>
    </row>
    <row r="54" spans="1:28" s="27" customFormat="1" ht="15.75" customHeight="1" x14ac:dyDescent="0.4">
      <c r="A54" s="28"/>
      <c r="B54" s="30"/>
      <c r="C54" s="333"/>
      <c r="D54" s="333"/>
      <c r="E54" s="333"/>
      <c r="F54" s="333"/>
      <c r="G54" s="333"/>
      <c r="H54" s="59"/>
      <c r="I54" s="153"/>
      <c r="J54" s="60"/>
      <c r="K54" s="150" t="s">
        <v>24</v>
      </c>
      <c r="L54" s="150"/>
      <c r="M54" s="150"/>
      <c r="N54" s="150"/>
      <c r="O54" s="150"/>
      <c r="P54" s="150"/>
      <c r="Q54" s="60"/>
      <c r="R54" s="60"/>
      <c r="S54" s="60"/>
      <c r="T54" s="60"/>
      <c r="U54" s="60"/>
      <c r="V54" s="60"/>
      <c r="W54" s="60"/>
      <c r="X54" s="60"/>
      <c r="Y54" s="60"/>
      <c r="Z54" s="30"/>
      <c r="AA54" s="29"/>
      <c r="AB54" s="29"/>
    </row>
    <row r="55" spans="1:28" s="27" customFormat="1" x14ac:dyDescent="0.35">
      <c r="A55" s="28"/>
      <c r="B55" s="30"/>
      <c r="C55" s="30"/>
      <c r="D55" s="30"/>
      <c r="E55" s="30"/>
      <c r="F55" s="30"/>
      <c r="G55" s="30"/>
      <c r="H55" s="30"/>
      <c r="I55" s="60"/>
      <c r="J55" s="60"/>
      <c r="K55" s="60"/>
      <c r="L55" s="60"/>
      <c r="M55" s="60"/>
      <c r="N55" s="60"/>
      <c r="O55" s="60"/>
      <c r="P55" s="60"/>
      <c r="Q55" s="60"/>
      <c r="R55" s="60"/>
      <c r="S55" s="60"/>
      <c r="T55" s="60"/>
      <c r="U55" s="60"/>
      <c r="V55" s="60"/>
      <c r="W55" s="60"/>
      <c r="X55" s="60"/>
      <c r="Y55" s="60"/>
      <c r="Z55" s="30"/>
      <c r="AA55" s="29"/>
      <c r="AB55" s="29"/>
    </row>
    <row r="56" spans="1:28" s="27" customFormat="1" ht="15" customHeight="1" x14ac:dyDescent="0.35">
      <c r="A56" s="28"/>
      <c r="B56" s="30"/>
      <c r="C56" s="325" t="s">
        <v>3</v>
      </c>
      <c r="D56" s="325"/>
      <c r="E56" s="325"/>
      <c r="F56" s="312">
        <f>F15</f>
        <v>0</v>
      </c>
      <c r="G56" s="313"/>
      <c r="H56" s="30"/>
      <c r="I56" s="60"/>
      <c r="J56" s="60"/>
      <c r="K56" s="267" t="s">
        <v>264</v>
      </c>
      <c r="L56" s="267"/>
      <c r="M56" s="267"/>
      <c r="N56" s="61"/>
      <c r="O56" s="60"/>
      <c r="Q56" s="60"/>
      <c r="R56" s="60"/>
      <c r="S56" s="60"/>
      <c r="T56" s="60"/>
      <c r="U56" s="60"/>
      <c r="V56" s="60"/>
      <c r="W56" s="60"/>
      <c r="X56" s="60"/>
      <c r="Y56" s="60"/>
      <c r="Z56" s="30"/>
      <c r="AA56" s="29"/>
      <c r="AB56" s="29"/>
    </row>
    <row r="57" spans="1:28" s="27" customFormat="1" ht="15" customHeight="1" x14ac:dyDescent="0.35">
      <c r="A57" s="28"/>
      <c r="B57" s="30"/>
      <c r="C57" s="326"/>
      <c r="D57" s="326"/>
      <c r="E57" s="326"/>
      <c r="F57" s="312"/>
      <c r="G57" s="313"/>
      <c r="H57" s="30"/>
      <c r="I57" s="60"/>
      <c r="J57" s="60"/>
      <c r="K57" s="270" t="str">
        <f>'Tool Calc Sheet'!G193</f>
        <v>In comparison to business as usual operations, the selected retrofit will result in annual building energy use to be:</v>
      </c>
      <c r="L57" s="270"/>
      <c r="M57" s="270"/>
      <c r="N57" s="270"/>
      <c r="O57" s="270"/>
      <c r="P57" s="270"/>
      <c r="Q57" s="142"/>
      <c r="R57" s="60"/>
      <c r="S57" s="60"/>
      <c r="T57" s="60"/>
      <c r="U57" s="60"/>
      <c r="V57" s="60"/>
      <c r="W57" s="60"/>
      <c r="X57" s="60"/>
      <c r="Y57" s="60"/>
      <c r="Z57" s="30"/>
      <c r="AA57" s="29"/>
      <c r="AB57" s="29"/>
    </row>
    <row r="58" spans="1:28" s="27" customFormat="1" ht="15" customHeight="1" x14ac:dyDescent="0.35">
      <c r="A58" s="28"/>
      <c r="B58" s="30"/>
      <c r="C58" s="322" t="s">
        <v>5</v>
      </c>
      <c r="D58" s="323"/>
      <c r="E58" s="324"/>
      <c r="F58" s="334" t="str">
        <f>TEXT(ROUND(F17,0),"#,###") &amp; " ft²"</f>
        <v xml:space="preserve"> ft²</v>
      </c>
      <c r="G58" s="335"/>
      <c r="H58" s="30"/>
      <c r="I58" s="60"/>
      <c r="J58" s="60"/>
      <c r="K58" s="270"/>
      <c r="L58" s="270"/>
      <c r="M58" s="270"/>
      <c r="N58" s="270"/>
      <c r="O58" s="270"/>
      <c r="P58" s="270"/>
      <c r="Q58" s="142"/>
      <c r="R58" s="60"/>
      <c r="S58" s="60"/>
      <c r="T58" s="60"/>
      <c r="U58" s="60"/>
      <c r="V58" s="60"/>
      <c r="W58" s="60"/>
      <c r="X58" s="60"/>
      <c r="Y58" s="60"/>
      <c r="Z58" s="30"/>
      <c r="AA58" s="29"/>
      <c r="AB58" s="29"/>
    </row>
    <row r="59" spans="1:28" s="27" customFormat="1" ht="9" customHeight="1" x14ac:dyDescent="0.35">
      <c r="A59" s="28"/>
      <c r="B59" s="30"/>
      <c r="C59" s="316" t="s">
        <v>364</v>
      </c>
      <c r="D59" s="316"/>
      <c r="E59" s="329"/>
      <c r="F59" s="319" t="str">
        <f>K15</f>
        <v/>
      </c>
      <c r="G59" s="319"/>
      <c r="H59" s="30"/>
      <c r="I59" s="60"/>
      <c r="J59" s="60"/>
      <c r="K59" s="270"/>
      <c r="L59" s="270"/>
      <c r="M59" s="270"/>
      <c r="N59" s="270"/>
      <c r="O59" s="270"/>
      <c r="P59" s="270"/>
      <c r="Q59" s="142"/>
      <c r="R59" s="60"/>
      <c r="S59" s="60"/>
      <c r="T59" s="60"/>
      <c r="U59" s="60"/>
      <c r="V59" s="60"/>
      <c r="W59" s="60"/>
      <c r="X59" s="60"/>
      <c r="Y59" s="60"/>
      <c r="Z59" s="30"/>
      <c r="AA59" s="29"/>
      <c r="AB59" s="29"/>
    </row>
    <row r="60" spans="1:28" s="27" customFormat="1" ht="18.75" customHeight="1" x14ac:dyDescent="0.35">
      <c r="A60" s="28"/>
      <c r="B60" s="30"/>
      <c r="C60" s="317"/>
      <c r="D60" s="317"/>
      <c r="E60" s="330"/>
      <c r="F60" s="321"/>
      <c r="G60" s="321"/>
      <c r="H60" s="30"/>
      <c r="I60" s="60"/>
      <c r="J60" s="60"/>
      <c r="K60" s="268" t="e">
        <f ca="1">'Tool Calc Sheet'!G194</f>
        <v>#N/A</v>
      </c>
      <c r="L60" s="268"/>
      <c r="M60" s="268"/>
      <c r="N60" s="268"/>
      <c r="O60" s="268"/>
      <c r="P60" s="149"/>
      <c r="Q60" s="142"/>
      <c r="R60" s="60"/>
      <c r="S60" s="60"/>
      <c r="T60" s="60"/>
      <c r="U60" s="60"/>
      <c r="V60" s="60"/>
      <c r="W60" s="60"/>
      <c r="X60" s="60"/>
      <c r="Y60" s="60"/>
      <c r="Z60" s="30"/>
      <c r="AA60" s="29"/>
      <c r="AB60" s="29"/>
    </row>
    <row r="61" spans="1:28" s="27" customFormat="1" ht="15" customHeight="1" x14ac:dyDescent="0.35">
      <c r="A61" s="28"/>
      <c r="B61" s="30"/>
      <c r="C61" s="317"/>
      <c r="D61" s="317"/>
      <c r="E61" s="330"/>
      <c r="F61" s="321"/>
      <c r="G61" s="321"/>
      <c r="H61" s="30"/>
      <c r="I61" s="60"/>
      <c r="J61" s="60"/>
      <c r="K61" s="94"/>
      <c r="L61" s="94"/>
      <c r="M61" s="94"/>
      <c r="N61" s="94"/>
      <c r="O61" s="94"/>
      <c r="P61" s="94"/>
      <c r="Q61" s="94"/>
      <c r="R61" s="60"/>
      <c r="S61" s="60"/>
      <c r="T61" s="60"/>
      <c r="U61" s="60"/>
      <c r="V61" s="60"/>
      <c r="W61" s="60"/>
      <c r="X61" s="60"/>
      <c r="Y61" s="60"/>
      <c r="Z61" s="30"/>
      <c r="AA61" s="29"/>
      <c r="AB61" s="29"/>
    </row>
    <row r="62" spans="1:28" s="27" customFormat="1" ht="15" customHeight="1" x14ac:dyDescent="0.35">
      <c r="A62" s="28"/>
      <c r="B62" s="30"/>
      <c r="C62" s="317"/>
      <c r="D62" s="317"/>
      <c r="E62" s="330"/>
      <c r="F62" s="321"/>
      <c r="G62" s="321"/>
      <c r="H62" s="30"/>
      <c r="I62" s="60"/>
      <c r="J62" s="60"/>
      <c r="K62" s="267" t="s">
        <v>265</v>
      </c>
      <c r="L62" s="267"/>
      <c r="M62" s="267"/>
      <c r="N62" s="267"/>
      <c r="O62" s="61"/>
      <c r="P62" s="61"/>
      <c r="Q62" s="94"/>
      <c r="R62" s="60"/>
      <c r="S62" s="60"/>
      <c r="T62" s="60"/>
      <c r="U62" s="60"/>
      <c r="V62" s="60"/>
      <c r="W62" s="60"/>
      <c r="X62" s="60"/>
      <c r="Y62" s="60"/>
      <c r="Z62" s="30"/>
      <c r="AA62" s="29"/>
      <c r="AB62" s="29"/>
    </row>
    <row r="63" spans="1:28" s="27" customFormat="1" ht="15" customHeight="1" x14ac:dyDescent="0.35">
      <c r="A63" s="28"/>
      <c r="B63" s="30"/>
      <c r="C63" s="331"/>
      <c r="D63" s="331"/>
      <c r="E63" s="332"/>
      <c r="F63" s="321"/>
      <c r="G63" s="321"/>
      <c r="H63" s="30"/>
      <c r="I63" s="60"/>
      <c r="J63" s="60"/>
      <c r="K63" s="270" t="str">
        <f>'Tool Calc Sheet'!G202</f>
        <v>In comparison to business as usual operations, the selected retrofit will result in annual building greenhouse gas emissions to be:</v>
      </c>
      <c r="L63" s="270"/>
      <c r="M63" s="270"/>
      <c r="N63" s="270"/>
      <c r="O63" s="270"/>
      <c r="P63" s="270"/>
      <c r="Q63" s="270"/>
      <c r="R63" s="60"/>
      <c r="S63" s="60"/>
      <c r="T63" s="60"/>
      <c r="U63" s="60"/>
      <c r="V63" s="60"/>
      <c r="W63" s="60"/>
      <c r="X63" s="60"/>
      <c r="Y63" s="60"/>
      <c r="Z63" s="30"/>
      <c r="AA63" s="29"/>
      <c r="AB63" s="29"/>
    </row>
    <row r="64" spans="1:28" s="27" customFormat="1" ht="15" customHeight="1" x14ac:dyDescent="0.35">
      <c r="A64" s="28"/>
      <c r="B64" s="30"/>
      <c r="C64" s="316" t="s">
        <v>363</v>
      </c>
      <c r="D64" s="316"/>
      <c r="E64" s="316"/>
      <c r="F64" s="318">
        <f>F45</f>
        <v>0</v>
      </c>
      <c r="G64" s="319"/>
      <c r="H64" s="30"/>
      <c r="I64" s="60"/>
      <c r="J64" s="60"/>
      <c r="K64" s="270"/>
      <c r="L64" s="270"/>
      <c r="M64" s="270"/>
      <c r="N64" s="270"/>
      <c r="O64" s="270"/>
      <c r="P64" s="270"/>
      <c r="Q64" s="270"/>
      <c r="R64" s="60"/>
      <c r="S64" s="60"/>
      <c r="T64" s="60"/>
      <c r="U64" s="60"/>
      <c r="V64" s="60"/>
      <c r="W64" s="60"/>
      <c r="X64" s="60"/>
      <c r="Y64" s="60"/>
      <c r="Z64" s="30"/>
      <c r="AA64" s="29"/>
      <c r="AB64" s="29"/>
    </row>
    <row r="65" spans="1:28" s="27" customFormat="1" ht="9.75" customHeight="1" x14ac:dyDescent="0.35">
      <c r="A65" s="28"/>
      <c r="B65" s="30"/>
      <c r="C65" s="317"/>
      <c r="D65" s="317"/>
      <c r="E65" s="317"/>
      <c r="F65" s="320"/>
      <c r="G65" s="321"/>
      <c r="H65" s="30"/>
      <c r="I65" s="60"/>
      <c r="J65" s="60"/>
      <c r="K65" s="270"/>
      <c r="L65" s="270"/>
      <c r="M65" s="270"/>
      <c r="N65" s="270"/>
      <c r="O65" s="270"/>
      <c r="P65" s="270"/>
      <c r="Q65" s="270"/>
      <c r="R65" s="60"/>
      <c r="S65" s="60"/>
      <c r="T65" s="60"/>
      <c r="U65" s="60"/>
      <c r="V65" s="60"/>
      <c r="W65" s="60"/>
      <c r="X65" s="60"/>
      <c r="Y65" s="60"/>
      <c r="Z65" s="30"/>
      <c r="AA65" s="29"/>
      <c r="AB65" s="29"/>
    </row>
    <row r="66" spans="1:28" s="27" customFormat="1" ht="15" customHeight="1" x14ac:dyDescent="0.35">
      <c r="A66" s="28"/>
      <c r="B66" s="30"/>
      <c r="C66" s="317"/>
      <c r="D66" s="317"/>
      <c r="E66" s="317"/>
      <c r="F66" s="320"/>
      <c r="G66" s="321"/>
      <c r="H66" s="30"/>
      <c r="I66" s="60"/>
      <c r="J66" s="60"/>
      <c r="K66" s="279" t="e">
        <f ca="1">'Tool Calc Sheet'!G203</f>
        <v>#N/A</v>
      </c>
      <c r="L66" s="279"/>
      <c r="M66" s="279"/>
      <c r="N66" s="279"/>
      <c r="O66" s="279"/>
      <c r="P66" s="149"/>
      <c r="Q66" s="270"/>
      <c r="R66" s="60"/>
      <c r="S66" s="60"/>
      <c r="T66" s="60"/>
      <c r="U66" s="60"/>
      <c r="V66" s="60"/>
      <c r="W66" s="60"/>
      <c r="X66" s="60"/>
      <c r="Y66" s="60"/>
      <c r="Z66" s="30"/>
      <c r="AA66" s="29"/>
      <c r="AB66" s="29"/>
    </row>
    <row r="67" spans="1:28" s="27" customFormat="1" x14ac:dyDescent="0.35">
      <c r="A67" s="28"/>
      <c r="B67" s="30"/>
      <c r="C67" s="317"/>
      <c r="D67" s="317"/>
      <c r="E67" s="317"/>
      <c r="F67" s="320"/>
      <c r="G67" s="321"/>
      <c r="H67" s="30"/>
      <c r="I67" s="60"/>
      <c r="J67" s="60"/>
      <c r="K67" s="94"/>
      <c r="L67" s="94"/>
      <c r="M67" s="94"/>
      <c r="N67" s="94"/>
      <c r="O67" s="94"/>
      <c r="P67" s="94"/>
      <c r="Q67" s="94"/>
      <c r="R67" s="60"/>
      <c r="S67" s="60"/>
      <c r="T67" s="60"/>
      <c r="U67" s="60"/>
      <c r="V67" s="60"/>
      <c r="W67" s="60"/>
      <c r="X67" s="60"/>
      <c r="Y67" s="60"/>
      <c r="Z67" s="30"/>
      <c r="AA67" s="29"/>
      <c r="AB67" s="29"/>
    </row>
    <row r="68" spans="1:28" s="27" customFormat="1" x14ac:dyDescent="0.35">
      <c r="A68" s="28"/>
      <c r="B68" s="30"/>
      <c r="C68" s="317"/>
      <c r="D68" s="317"/>
      <c r="E68" s="317"/>
      <c r="F68" s="320"/>
      <c r="G68" s="321"/>
      <c r="H68" s="30"/>
      <c r="I68" s="60"/>
      <c r="J68" s="60"/>
      <c r="K68" s="267" t="s">
        <v>25</v>
      </c>
      <c r="L68" s="267"/>
      <c r="M68" s="94"/>
      <c r="N68" s="94"/>
      <c r="O68" s="94"/>
      <c r="P68" s="94"/>
      <c r="Q68" s="94"/>
      <c r="R68" s="60"/>
      <c r="S68" s="60"/>
      <c r="T68" s="60"/>
      <c r="U68" s="60"/>
      <c r="V68" s="60"/>
      <c r="W68" s="60"/>
      <c r="X68" s="60"/>
      <c r="Y68" s="60"/>
      <c r="Z68" s="30"/>
      <c r="AA68" s="29"/>
      <c r="AB68" s="29"/>
    </row>
    <row r="69" spans="1:28" s="27" customFormat="1" ht="15" customHeight="1" x14ac:dyDescent="0.35">
      <c r="A69" s="28"/>
      <c r="B69" s="30"/>
      <c r="C69" s="317"/>
      <c r="D69" s="317"/>
      <c r="E69" s="317"/>
      <c r="F69" s="320"/>
      <c r="G69" s="321"/>
      <c r="H69" s="30"/>
      <c r="I69" s="60"/>
      <c r="J69" s="60"/>
      <c r="K69" s="270" t="str">
        <f>'Tool Calc Sheet'!G211</f>
        <v>In comparison to business as usual capital investments, the selected retrofit will result in:</v>
      </c>
      <c r="L69" s="270"/>
      <c r="M69" s="270"/>
      <c r="N69" s="270"/>
      <c r="O69" s="270"/>
      <c r="P69" s="270"/>
      <c r="Q69" s="270"/>
      <c r="R69" s="60"/>
      <c r="S69" s="60"/>
      <c r="T69" s="60"/>
      <c r="U69" s="60"/>
      <c r="V69" s="60"/>
      <c r="W69" s="60"/>
      <c r="X69" s="60"/>
      <c r="Y69" s="60"/>
      <c r="Z69" s="30"/>
      <c r="AA69" s="29"/>
      <c r="AB69" s="29"/>
    </row>
    <row r="70" spans="1:28" s="27" customFormat="1" x14ac:dyDescent="0.35">
      <c r="A70" s="28"/>
      <c r="B70" s="30"/>
      <c r="C70" s="317"/>
      <c r="D70" s="317"/>
      <c r="E70" s="317"/>
      <c r="F70" s="320"/>
      <c r="G70" s="321"/>
      <c r="H70" s="30"/>
      <c r="I70" s="60"/>
      <c r="J70" s="60"/>
      <c r="K70" s="270"/>
      <c r="L70" s="270"/>
      <c r="M70" s="270"/>
      <c r="N70" s="270"/>
      <c r="O70" s="270"/>
      <c r="P70" s="270"/>
      <c r="Q70" s="270"/>
      <c r="R70" s="60"/>
      <c r="S70" s="60"/>
      <c r="T70" s="60"/>
      <c r="U70" s="60"/>
      <c r="V70" s="60"/>
      <c r="W70" s="60"/>
      <c r="X70" s="60"/>
      <c r="Y70" s="60"/>
      <c r="Z70" s="30"/>
      <c r="AA70" s="29"/>
      <c r="AB70" s="29"/>
    </row>
    <row r="71" spans="1:28" s="27" customFormat="1" ht="15" customHeight="1" x14ac:dyDescent="0.35">
      <c r="A71" s="28"/>
      <c r="B71" s="30"/>
      <c r="C71" s="30"/>
      <c r="D71" s="30"/>
      <c r="E71" s="30"/>
      <c r="F71" s="30"/>
      <c r="G71" s="30"/>
      <c r="H71" s="30"/>
      <c r="I71" s="60"/>
      <c r="J71" s="60"/>
      <c r="K71" s="279" t="e">
        <f ca="1">'Tool Calc Sheet'!G212</f>
        <v>#N/A</v>
      </c>
      <c r="L71" s="279"/>
      <c r="M71" s="279"/>
      <c r="N71" s="279"/>
      <c r="O71" s="279"/>
      <c r="P71" s="279"/>
      <c r="Q71" s="270"/>
      <c r="R71" s="60"/>
      <c r="S71" s="60"/>
      <c r="T71" s="60"/>
      <c r="U71" s="60"/>
      <c r="V71" s="60"/>
      <c r="W71" s="60"/>
      <c r="X71" s="60"/>
      <c r="Y71" s="60"/>
      <c r="Z71" s="30"/>
      <c r="AA71" s="29"/>
      <c r="AB71" s="29"/>
    </row>
    <row r="72" spans="1:28" s="27" customFormat="1" ht="15" customHeight="1" x14ac:dyDescent="0.35">
      <c r="A72" s="28"/>
      <c r="B72" s="30"/>
      <c r="C72" s="30"/>
      <c r="D72" s="30"/>
      <c r="E72" s="30"/>
      <c r="F72" s="30"/>
      <c r="G72" s="30"/>
      <c r="H72" s="30"/>
      <c r="I72" s="60"/>
      <c r="J72" s="60"/>
      <c r="K72" s="279"/>
      <c r="L72" s="279"/>
      <c r="M72" s="279"/>
      <c r="N72" s="279"/>
      <c r="O72" s="279"/>
      <c r="P72" s="279"/>
      <c r="Q72" s="270"/>
      <c r="R72" s="60"/>
      <c r="S72" s="60"/>
      <c r="T72" s="60"/>
      <c r="U72" s="60"/>
      <c r="V72" s="60"/>
      <c r="W72" s="60"/>
      <c r="X72" s="60"/>
      <c r="Y72" s="60"/>
      <c r="Z72" s="30"/>
      <c r="AA72" s="29"/>
      <c r="AB72" s="29"/>
    </row>
    <row r="73" spans="1:28" s="27" customFormat="1" x14ac:dyDescent="0.35">
      <c r="A73" s="28"/>
      <c r="B73" s="30"/>
      <c r="C73" s="30"/>
      <c r="D73" s="30"/>
      <c r="E73" s="30"/>
      <c r="F73" s="30"/>
      <c r="G73" s="30"/>
      <c r="H73" s="30"/>
      <c r="I73" s="60"/>
      <c r="J73" s="60"/>
      <c r="K73" s="94"/>
      <c r="L73" s="94"/>
      <c r="M73" s="94"/>
      <c r="N73" s="94"/>
      <c r="O73" s="94"/>
      <c r="P73" s="94"/>
      <c r="Q73" s="94"/>
      <c r="R73" s="60"/>
      <c r="S73" s="60"/>
      <c r="T73" s="60"/>
      <c r="U73" s="60"/>
      <c r="V73" s="60"/>
      <c r="W73" s="60"/>
      <c r="X73" s="60"/>
      <c r="Y73" s="60"/>
      <c r="Z73" s="30"/>
      <c r="AA73" s="29"/>
      <c r="AB73" s="29"/>
    </row>
    <row r="74" spans="1:28" s="27" customFormat="1" x14ac:dyDescent="0.35">
      <c r="A74" s="28"/>
      <c r="B74" s="30"/>
      <c r="C74" s="30"/>
      <c r="D74" s="30"/>
      <c r="E74" s="30"/>
      <c r="F74" s="30"/>
      <c r="G74" s="30"/>
      <c r="H74" s="30"/>
      <c r="I74" s="60"/>
      <c r="J74" s="60"/>
      <c r="K74" s="267" t="s">
        <v>273</v>
      </c>
      <c r="L74" s="267"/>
      <c r="M74" s="61"/>
      <c r="N74" s="94"/>
      <c r="O74" s="94"/>
      <c r="P74" s="94"/>
      <c r="Q74" s="94"/>
      <c r="R74" s="60"/>
      <c r="S74" s="60"/>
      <c r="T74" s="60"/>
      <c r="U74" s="60"/>
      <c r="V74" s="60"/>
      <c r="W74" s="60"/>
      <c r="X74" s="60"/>
      <c r="Y74" s="60"/>
      <c r="Z74" s="30"/>
      <c r="AA74" s="29"/>
      <c r="AB74" s="29"/>
    </row>
    <row r="75" spans="1:28" s="27" customFormat="1" ht="15" customHeight="1" x14ac:dyDescent="0.35">
      <c r="A75" s="28"/>
      <c r="B75" s="30"/>
      <c r="C75" s="30"/>
      <c r="D75" s="30"/>
      <c r="E75" s="30"/>
      <c r="F75" s="30"/>
      <c r="G75" s="30"/>
      <c r="H75" s="30"/>
      <c r="I75" s="60"/>
      <c r="J75" s="60"/>
      <c r="K75" s="270" t="str">
        <f>'Tool Calc Sheet'!G220</f>
        <v>In comparison to business as usual operations, the selected retrofit will result in annual utility costs to be:</v>
      </c>
      <c r="L75" s="270"/>
      <c r="M75" s="270"/>
      <c r="N75" s="270"/>
      <c r="O75" s="270"/>
      <c r="P75" s="270"/>
      <c r="Q75" s="270"/>
      <c r="R75" s="60"/>
      <c r="S75" s="60"/>
      <c r="T75" s="60"/>
      <c r="U75" s="60"/>
      <c r="V75" s="60"/>
      <c r="W75" s="60"/>
      <c r="X75" s="60"/>
      <c r="Y75" s="60"/>
      <c r="Z75" s="30"/>
      <c r="AA75" s="29"/>
      <c r="AB75" s="29"/>
    </row>
    <row r="76" spans="1:28" s="27" customFormat="1" x14ac:dyDescent="0.35">
      <c r="A76" s="28"/>
      <c r="B76" s="30"/>
      <c r="C76" s="30"/>
      <c r="D76" s="30"/>
      <c r="E76" s="30"/>
      <c r="F76" s="30"/>
      <c r="G76" s="30"/>
      <c r="H76" s="30"/>
      <c r="I76" s="60"/>
      <c r="J76" s="60"/>
      <c r="K76" s="270"/>
      <c r="L76" s="270"/>
      <c r="M76" s="270"/>
      <c r="N76" s="270"/>
      <c r="O76" s="270"/>
      <c r="P76" s="270"/>
      <c r="Q76" s="270"/>
      <c r="R76" s="60"/>
      <c r="S76" s="60"/>
      <c r="T76" s="60"/>
      <c r="U76" s="60"/>
      <c r="V76" s="60"/>
      <c r="W76" s="60"/>
      <c r="X76" s="60"/>
      <c r="Y76" s="60"/>
      <c r="Z76" s="30"/>
      <c r="AA76" s="29"/>
      <c r="AB76" s="29"/>
    </row>
    <row r="77" spans="1:28" s="27" customFormat="1" ht="7.5" customHeight="1" x14ac:dyDescent="0.35">
      <c r="A77" s="28"/>
      <c r="B77" s="30"/>
      <c r="C77" s="30"/>
      <c r="D77" s="30"/>
      <c r="E77" s="30"/>
      <c r="F77" s="30"/>
      <c r="G77" s="30"/>
      <c r="H77" s="30"/>
      <c r="I77" s="60"/>
      <c r="J77" s="60"/>
      <c r="K77" s="270"/>
      <c r="L77" s="270"/>
      <c r="M77" s="270"/>
      <c r="N77" s="270"/>
      <c r="O77" s="270"/>
      <c r="P77" s="270"/>
      <c r="Q77" s="270"/>
      <c r="R77" s="60"/>
      <c r="S77" s="60"/>
      <c r="T77" s="60"/>
      <c r="U77" s="60"/>
      <c r="V77" s="60"/>
      <c r="W77" s="60"/>
      <c r="X77" s="60"/>
      <c r="Y77" s="60"/>
      <c r="Z77" s="30"/>
      <c r="AA77" s="29"/>
      <c r="AB77" s="29"/>
    </row>
    <row r="78" spans="1:28" s="27" customFormat="1" ht="15" customHeight="1" x14ac:dyDescent="0.35">
      <c r="A78" s="28"/>
      <c r="B78" s="30"/>
      <c r="C78" s="30"/>
      <c r="D78" s="30"/>
      <c r="E78" s="30"/>
      <c r="F78" s="30"/>
      <c r="G78" s="30"/>
      <c r="H78" s="30"/>
      <c r="I78" s="60"/>
      <c r="J78" s="60"/>
      <c r="K78" s="268" t="e">
        <f ca="1">'Tool Calc Sheet'!G221</f>
        <v>#N/A</v>
      </c>
      <c r="L78" s="268"/>
      <c r="M78" s="268"/>
      <c r="N78" s="268"/>
      <c r="O78" s="268"/>
      <c r="P78" s="142"/>
      <c r="Q78" s="270"/>
      <c r="R78" s="60"/>
      <c r="S78" s="60"/>
      <c r="T78" s="60"/>
      <c r="U78" s="60"/>
      <c r="V78" s="60"/>
      <c r="W78" s="60"/>
      <c r="X78" s="60"/>
      <c r="Y78" s="60"/>
      <c r="Z78" s="30"/>
      <c r="AA78" s="29"/>
      <c r="AB78" s="29"/>
    </row>
    <row r="79" spans="1:28" s="27" customFormat="1" x14ac:dyDescent="0.35">
      <c r="A79" s="28"/>
      <c r="B79" s="30"/>
      <c r="C79" s="30"/>
      <c r="D79" s="30"/>
      <c r="E79" s="30"/>
      <c r="F79" s="30"/>
      <c r="G79" s="30"/>
      <c r="H79" s="30"/>
      <c r="I79" s="60"/>
      <c r="J79" s="60"/>
      <c r="K79" s="62"/>
      <c r="L79" s="62"/>
      <c r="M79" s="62"/>
      <c r="N79" s="62"/>
      <c r="O79" s="62"/>
      <c r="P79" s="62"/>
      <c r="Q79" s="62"/>
      <c r="R79" s="60"/>
      <c r="S79" s="60"/>
      <c r="T79" s="60"/>
      <c r="U79" s="60"/>
      <c r="V79" s="60"/>
      <c r="W79" s="60"/>
      <c r="X79" s="60"/>
      <c r="Y79" s="60"/>
      <c r="Z79" s="30"/>
      <c r="AA79" s="29"/>
      <c r="AB79" s="29"/>
    </row>
    <row r="80" spans="1:28" s="27" customFormat="1" x14ac:dyDescent="0.35">
      <c r="A80" s="28"/>
      <c r="B80" s="30"/>
      <c r="C80" s="30"/>
      <c r="D80" s="30"/>
      <c r="E80" s="30"/>
      <c r="F80" s="30"/>
      <c r="G80" s="30"/>
      <c r="H80" s="30"/>
      <c r="I80" s="60"/>
      <c r="J80" s="60"/>
      <c r="K80" s="267" t="s">
        <v>274</v>
      </c>
      <c r="L80" s="267"/>
      <c r="M80" s="267"/>
      <c r="N80" s="267"/>
      <c r="O80" s="94"/>
      <c r="P80" s="94"/>
      <c r="Q80" s="94"/>
      <c r="R80" s="60"/>
      <c r="S80" s="60"/>
      <c r="T80" s="60"/>
      <c r="U80" s="60"/>
      <c r="V80" s="60"/>
      <c r="W80" s="60"/>
      <c r="X80" s="60"/>
      <c r="Y80" s="60"/>
      <c r="Z80" s="30"/>
      <c r="AA80" s="29"/>
      <c r="AB80" s="29"/>
    </row>
    <row r="81" spans="1:28" s="27" customFormat="1" ht="15" customHeight="1" x14ac:dyDescent="0.35">
      <c r="A81" s="28"/>
      <c r="B81" s="30"/>
      <c r="C81" s="30"/>
      <c r="D81" s="30"/>
      <c r="E81" s="30"/>
      <c r="F81" s="30"/>
      <c r="G81" s="30"/>
      <c r="H81" s="30"/>
      <c r="I81" s="60"/>
      <c r="J81" s="60"/>
      <c r="K81" s="270" t="str">
        <f>'Tool Calc Sheet'!G229</f>
        <v>In comparison to business as usual operations, the selected retrofit will result in annual building carbon tax to be:</v>
      </c>
      <c r="L81" s="270"/>
      <c r="M81" s="270"/>
      <c r="N81" s="270"/>
      <c r="O81" s="270"/>
      <c r="P81" s="270"/>
      <c r="Q81" s="270"/>
      <c r="R81" s="60"/>
      <c r="S81" s="60"/>
      <c r="T81" s="60"/>
      <c r="U81" s="60"/>
      <c r="V81" s="60"/>
      <c r="W81" s="60"/>
      <c r="X81" s="60"/>
      <c r="Y81" s="60"/>
      <c r="Z81" s="30"/>
      <c r="AA81" s="29"/>
      <c r="AB81" s="29"/>
    </row>
    <row r="82" spans="1:28" s="27" customFormat="1" x14ac:dyDescent="0.35">
      <c r="A82" s="28"/>
      <c r="B82" s="30"/>
      <c r="C82" s="30"/>
      <c r="D82" s="30"/>
      <c r="E82" s="30"/>
      <c r="F82" s="30"/>
      <c r="G82" s="30"/>
      <c r="H82" s="30"/>
      <c r="I82" s="60"/>
      <c r="J82" s="60"/>
      <c r="K82" s="270"/>
      <c r="L82" s="270"/>
      <c r="M82" s="270"/>
      <c r="N82" s="270"/>
      <c r="O82" s="270"/>
      <c r="P82" s="270"/>
      <c r="Q82" s="270"/>
      <c r="R82" s="60"/>
      <c r="S82" s="60"/>
      <c r="T82" s="60"/>
      <c r="U82" s="60"/>
      <c r="V82" s="60"/>
      <c r="W82" s="60"/>
      <c r="X82" s="60"/>
      <c r="Y82" s="60"/>
      <c r="Z82" s="30"/>
      <c r="AA82" s="29"/>
      <c r="AB82" s="29"/>
    </row>
    <row r="83" spans="1:28" s="27" customFormat="1" ht="9" customHeight="1" x14ac:dyDescent="0.35">
      <c r="A83" s="28"/>
      <c r="B83" s="30"/>
      <c r="C83" s="30"/>
      <c r="D83" s="30"/>
      <c r="E83" s="30"/>
      <c r="F83" s="30"/>
      <c r="G83" s="30"/>
      <c r="H83" s="30"/>
      <c r="I83" s="60"/>
      <c r="J83" s="60"/>
      <c r="K83" s="270"/>
      <c r="L83" s="270"/>
      <c r="M83" s="270"/>
      <c r="N83" s="270"/>
      <c r="O83" s="270"/>
      <c r="P83" s="270"/>
      <c r="Q83" s="270"/>
      <c r="R83" s="60"/>
      <c r="S83" s="60"/>
      <c r="T83" s="60"/>
      <c r="U83" s="60"/>
      <c r="V83" s="60"/>
      <c r="W83" s="60"/>
      <c r="X83" s="60"/>
      <c r="Y83" s="60"/>
      <c r="Z83" s="30"/>
      <c r="AA83" s="29"/>
      <c r="AB83" s="29"/>
    </row>
    <row r="84" spans="1:28" s="27" customFormat="1" ht="15" customHeight="1" x14ac:dyDescent="0.35">
      <c r="A84" s="28"/>
      <c r="B84" s="30"/>
      <c r="C84" s="30"/>
      <c r="D84" s="30"/>
      <c r="E84" s="30"/>
      <c r="F84" s="30"/>
      <c r="G84" s="30"/>
      <c r="H84" s="30"/>
      <c r="I84" s="60"/>
      <c r="J84" s="60"/>
      <c r="K84" s="269" t="str">
        <f ca="1">'Tool Calc Sheet'!G230</f>
        <v>Carbon Tax is not estimated or not significant</v>
      </c>
      <c r="L84" s="269"/>
      <c r="M84" s="269"/>
      <c r="N84" s="269"/>
      <c r="O84" s="269"/>
      <c r="P84" s="142"/>
      <c r="Q84" s="270"/>
      <c r="R84" s="60"/>
      <c r="S84" s="60"/>
      <c r="T84" s="60"/>
      <c r="U84" s="60"/>
      <c r="V84" s="60"/>
      <c r="W84" s="60"/>
      <c r="X84" s="60"/>
      <c r="Y84" s="60"/>
      <c r="Z84" s="30"/>
      <c r="AA84" s="29"/>
      <c r="AB84" s="29"/>
    </row>
    <row r="85" spans="1:28" s="27" customFormat="1" x14ac:dyDescent="0.35">
      <c r="A85" s="28"/>
      <c r="B85" s="30"/>
      <c r="C85" s="30"/>
      <c r="D85" s="30"/>
      <c r="E85" s="30"/>
      <c r="F85" s="30"/>
      <c r="G85" s="30"/>
      <c r="H85" s="30"/>
      <c r="I85" s="60"/>
      <c r="J85" s="60"/>
      <c r="K85" s="94"/>
      <c r="L85" s="94"/>
      <c r="M85" s="94"/>
      <c r="N85" s="94"/>
      <c r="O85" s="94"/>
      <c r="P85" s="94"/>
      <c r="Q85" s="94"/>
      <c r="R85" s="60"/>
      <c r="S85" s="60"/>
      <c r="T85" s="60"/>
      <c r="U85" s="60"/>
      <c r="V85" s="60"/>
      <c r="W85" s="60"/>
      <c r="X85" s="60"/>
      <c r="Y85" s="60"/>
      <c r="Z85" s="30"/>
      <c r="AA85" s="29"/>
      <c r="AB85" s="29"/>
    </row>
    <row r="86" spans="1:28" s="27" customFormat="1" ht="7.5" customHeight="1" x14ac:dyDescent="0.35">
      <c r="A86" s="28"/>
      <c r="B86" s="30"/>
      <c r="C86" s="30"/>
      <c r="D86" s="30"/>
      <c r="E86" s="30"/>
      <c r="F86" s="30"/>
      <c r="G86" s="30"/>
      <c r="H86" s="30"/>
      <c r="I86" s="60"/>
      <c r="J86" s="154"/>
      <c r="K86" s="155"/>
      <c r="L86" s="155"/>
      <c r="M86" s="155"/>
      <c r="N86" s="155"/>
      <c r="O86" s="155"/>
      <c r="P86" s="155"/>
      <c r="Q86" s="155"/>
      <c r="R86" s="154"/>
      <c r="S86" s="154"/>
      <c r="T86" s="154"/>
      <c r="U86" s="154"/>
      <c r="V86" s="154"/>
      <c r="W86" s="154"/>
      <c r="X86" s="154"/>
      <c r="Y86" s="60"/>
      <c r="Z86" s="30"/>
      <c r="AA86" s="29"/>
      <c r="AB86" s="29"/>
    </row>
    <row r="87" spans="1:28" s="27" customFormat="1" x14ac:dyDescent="0.35">
      <c r="A87" s="28"/>
      <c r="B87" s="30"/>
      <c r="C87" s="30"/>
      <c r="D87" s="30"/>
      <c r="E87" s="30"/>
      <c r="F87" s="30"/>
      <c r="G87" s="30"/>
      <c r="H87" s="30"/>
      <c r="I87" s="60"/>
      <c r="J87" s="154"/>
      <c r="K87" s="280" t="s">
        <v>26</v>
      </c>
      <c r="L87" s="280"/>
      <c r="M87" s="280"/>
      <c r="N87" s="280"/>
      <c r="O87" s="155"/>
      <c r="P87" s="155"/>
      <c r="Q87" s="155"/>
      <c r="R87" s="154"/>
      <c r="S87" s="154"/>
      <c r="T87" s="154"/>
      <c r="U87" s="154"/>
      <c r="V87" s="154"/>
      <c r="W87" s="154"/>
      <c r="X87" s="154"/>
      <c r="Y87" s="60"/>
      <c r="Z87" s="30"/>
      <c r="AA87" s="29"/>
      <c r="AB87" s="29"/>
    </row>
    <row r="88" spans="1:28" s="27" customFormat="1" ht="15" customHeight="1" x14ac:dyDescent="0.35">
      <c r="A88" s="28"/>
      <c r="B88" s="30"/>
      <c r="C88" s="30"/>
      <c r="D88" s="30"/>
      <c r="E88" s="30"/>
      <c r="F88" s="30"/>
      <c r="G88" s="30"/>
      <c r="H88" s="30"/>
      <c r="I88" s="60"/>
      <c r="J88" s="154"/>
      <c r="K88" s="277" t="str">
        <f>'Tool Calc Sheet'!G238</f>
        <v>In comparison to business as usual operations, the selected retrofit will result in total costs during the hold period to be:</v>
      </c>
      <c r="L88" s="277"/>
      <c r="M88" s="277"/>
      <c r="N88" s="277"/>
      <c r="O88" s="277"/>
      <c r="P88" s="277"/>
      <c r="Q88" s="277"/>
      <c r="R88" s="154"/>
      <c r="S88" s="154"/>
      <c r="T88" s="154"/>
      <c r="U88" s="154"/>
      <c r="V88" s="154"/>
      <c r="W88" s="154"/>
      <c r="X88" s="154"/>
      <c r="Y88" s="60"/>
      <c r="Z88" s="30"/>
      <c r="AA88" s="29"/>
      <c r="AB88" s="29"/>
    </row>
    <row r="89" spans="1:28" s="27" customFormat="1" x14ac:dyDescent="0.35">
      <c r="A89" s="28"/>
      <c r="B89" s="30"/>
      <c r="C89" s="30"/>
      <c r="D89" s="30"/>
      <c r="E89" s="30"/>
      <c r="F89" s="30"/>
      <c r="G89" s="30"/>
      <c r="H89" s="30"/>
      <c r="I89" s="60"/>
      <c r="J89" s="154"/>
      <c r="K89" s="277"/>
      <c r="L89" s="277"/>
      <c r="M89" s="277"/>
      <c r="N89" s="277"/>
      <c r="O89" s="277"/>
      <c r="P89" s="277"/>
      <c r="Q89" s="277"/>
      <c r="R89" s="154"/>
      <c r="S89" s="154"/>
      <c r="T89" s="154"/>
      <c r="U89" s="154"/>
      <c r="V89" s="154"/>
      <c r="W89" s="154"/>
      <c r="X89" s="154"/>
      <c r="Y89" s="60"/>
      <c r="Z89" s="30"/>
      <c r="AA89" s="29"/>
      <c r="AB89" s="29"/>
    </row>
    <row r="90" spans="1:28" s="27" customFormat="1" ht="7.5" customHeight="1" x14ac:dyDescent="0.35">
      <c r="A90" s="28"/>
      <c r="B90" s="30"/>
      <c r="C90" s="30"/>
      <c r="D90" s="30"/>
      <c r="E90" s="30"/>
      <c r="F90" s="30"/>
      <c r="G90" s="30"/>
      <c r="H90" s="30"/>
      <c r="I90" s="60"/>
      <c r="J90" s="154"/>
      <c r="K90" s="277"/>
      <c r="L90" s="277"/>
      <c r="M90" s="277"/>
      <c r="N90" s="277"/>
      <c r="O90" s="277"/>
      <c r="P90" s="277"/>
      <c r="Q90" s="277"/>
      <c r="R90" s="154"/>
      <c r="S90" s="154"/>
      <c r="T90" s="154"/>
      <c r="U90" s="154"/>
      <c r="V90" s="154"/>
      <c r="W90" s="154"/>
      <c r="X90" s="154"/>
      <c r="Y90" s="60"/>
      <c r="Z90" s="30"/>
      <c r="AA90" s="29"/>
      <c r="AB90" s="29"/>
    </row>
    <row r="91" spans="1:28" s="27" customFormat="1" ht="15" customHeight="1" x14ac:dyDescent="0.35">
      <c r="A91" s="28"/>
      <c r="B91" s="30"/>
      <c r="C91" s="30"/>
      <c r="D91" s="30"/>
      <c r="E91" s="30"/>
      <c r="F91" s="30"/>
      <c r="G91" s="30"/>
      <c r="H91" s="30"/>
      <c r="I91" s="60"/>
      <c r="J91" s="154"/>
      <c r="K91" s="276" t="e">
        <f ca="1">'Tool Calc Sheet'!G239</f>
        <v>#N/A</v>
      </c>
      <c r="L91" s="276"/>
      <c r="M91" s="276"/>
      <c r="N91" s="276"/>
      <c r="O91" s="276"/>
      <c r="P91" s="276"/>
      <c r="Q91" s="277"/>
      <c r="R91" s="154"/>
      <c r="S91" s="154"/>
      <c r="T91" s="154"/>
      <c r="U91" s="154"/>
      <c r="V91" s="154"/>
      <c r="W91" s="154"/>
      <c r="X91" s="154"/>
      <c r="Y91" s="60"/>
      <c r="Z91" s="30"/>
      <c r="AA91" s="29"/>
      <c r="AB91" s="29"/>
    </row>
    <row r="92" spans="1:28" s="27" customFormat="1" ht="12.75" customHeight="1" x14ac:dyDescent="0.35">
      <c r="A92" s="28"/>
      <c r="B92" s="30"/>
      <c r="C92" s="30"/>
      <c r="D92" s="30"/>
      <c r="E92" s="30"/>
      <c r="F92" s="30"/>
      <c r="G92" s="30"/>
      <c r="H92" s="30"/>
      <c r="I92" s="60"/>
      <c r="J92" s="154"/>
      <c r="K92" s="157"/>
      <c r="L92" s="157"/>
      <c r="M92" s="157"/>
      <c r="N92" s="157"/>
      <c r="O92" s="157"/>
      <c r="P92" s="157"/>
      <c r="Q92" s="156"/>
      <c r="R92" s="154"/>
      <c r="S92" s="154"/>
      <c r="T92" s="154"/>
      <c r="U92" s="154"/>
      <c r="V92" s="154"/>
      <c r="W92" s="154"/>
      <c r="X92" s="154"/>
      <c r="Y92" s="60"/>
      <c r="Z92" s="30"/>
      <c r="AA92" s="29"/>
      <c r="AB92" s="29"/>
    </row>
    <row r="93" spans="1:28" s="27" customFormat="1" ht="9.75" customHeight="1" x14ac:dyDescent="0.35">
      <c r="A93" s="28"/>
      <c r="B93" s="30"/>
      <c r="C93" s="30"/>
      <c r="D93" s="30"/>
      <c r="E93" s="30"/>
      <c r="F93" s="30"/>
      <c r="G93" s="30"/>
      <c r="H93" s="30"/>
      <c r="I93" s="60"/>
      <c r="J93" s="60"/>
      <c r="K93" s="148"/>
      <c r="L93" s="148"/>
      <c r="M93" s="142"/>
      <c r="N93" s="142"/>
      <c r="O93" s="142"/>
      <c r="P93" s="142"/>
      <c r="Q93" s="62"/>
      <c r="R93" s="60"/>
      <c r="S93" s="60"/>
      <c r="T93" s="60"/>
      <c r="U93" s="60"/>
      <c r="V93" s="60"/>
      <c r="W93" s="60"/>
      <c r="X93" s="60"/>
      <c r="Y93" s="60"/>
      <c r="Z93" s="30"/>
      <c r="AA93" s="29"/>
      <c r="AB93" s="29"/>
    </row>
    <row r="94" spans="1:28" ht="15" customHeight="1" x14ac:dyDescent="0.35">
      <c r="B94" s="30"/>
      <c r="C94" s="30"/>
      <c r="D94" s="30"/>
      <c r="E94" s="30"/>
      <c r="F94" s="30"/>
      <c r="G94" s="30"/>
      <c r="H94" s="30"/>
      <c r="I94" s="60"/>
      <c r="J94" s="60"/>
      <c r="K94" s="267" t="s">
        <v>27</v>
      </c>
      <c r="L94" s="267"/>
      <c r="M94" s="267"/>
      <c r="N94" s="94"/>
      <c r="O94" s="94"/>
      <c r="P94" s="94"/>
      <c r="Q94" s="278" t="str">
        <f>'Tool Calc Sheet'!G245</f>
        <v>-</v>
      </c>
      <c r="R94" s="278"/>
      <c r="S94" s="278"/>
      <c r="T94" s="278"/>
      <c r="U94" s="278"/>
      <c r="V94" s="278"/>
      <c r="W94" s="278"/>
      <c r="X94" s="278"/>
      <c r="Y94" s="60"/>
      <c r="Z94" s="30"/>
    </row>
    <row r="95" spans="1:28" ht="15" customHeight="1" x14ac:dyDescent="0.35">
      <c r="B95" s="30"/>
      <c r="C95" s="30"/>
      <c r="D95" s="30"/>
      <c r="E95" s="30"/>
      <c r="F95" s="30"/>
      <c r="G95" s="30"/>
      <c r="H95" s="30"/>
      <c r="I95" s="60"/>
      <c r="J95" s="60"/>
      <c r="K95" s="275" t="str">
        <f>'Tool Calc Sheet'!G244</f>
        <v>The retrofit investment will not payback within the hold period.</v>
      </c>
      <c r="L95" s="275"/>
      <c r="M95" s="275"/>
      <c r="N95" s="275"/>
      <c r="O95" s="275"/>
      <c r="P95" s="275"/>
      <c r="Q95" s="278"/>
      <c r="R95" s="278"/>
      <c r="S95" s="278"/>
      <c r="T95" s="278"/>
      <c r="U95" s="278"/>
      <c r="V95" s="278"/>
      <c r="W95" s="278"/>
      <c r="X95" s="278"/>
      <c r="Y95" s="60"/>
      <c r="Z95" s="30"/>
    </row>
    <row r="96" spans="1:28" ht="15" customHeight="1" x14ac:dyDescent="0.35">
      <c r="B96" s="30"/>
      <c r="C96" s="30"/>
      <c r="D96" s="30"/>
      <c r="E96" s="30"/>
      <c r="F96" s="30"/>
      <c r="G96" s="30"/>
      <c r="H96" s="30"/>
      <c r="I96" s="60"/>
      <c r="J96" s="60"/>
      <c r="K96" s="275"/>
      <c r="L96" s="275"/>
      <c r="M96" s="275"/>
      <c r="N96" s="275"/>
      <c r="O96" s="275"/>
      <c r="P96" s="275"/>
      <c r="Q96" s="278"/>
      <c r="R96" s="278"/>
      <c r="S96" s="278"/>
      <c r="T96" s="278"/>
      <c r="U96" s="278"/>
      <c r="V96" s="278"/>
      <c r="W96" s="278"/>
      <c r="X96" s="278"/>
      <c r="Y96" s="60"/>
      <c r="Z96" s="30"/>
    </row>
    <row r="97" spans="2:26" ht="15" customHeight="1" x14ac:dyDescent="0.35">
      <c r="B97" s="30"/>
      <c r="C97" s="30"/>
      <c r="D97" s="30"/>
      <c r="E97" s="30"/>
      <c r="F97" s="30"/>
      <c r="G97" s="30"/>
      <c r="H97" s="30"/>
      <c r="I97" s="60"/>
      <c r="J97" s="60"/>
      <c r="K97" s="275"/>
      <c r="L97" s="275"/>
      <c r="M97" s="275"/>
      <c r="N97" s="275"/>
      <c r="O97" s="275"/>
      <c r="P97" s="275"/>
      <c r="Q97" s="278"/>
      <c r="R97" s="278"/>
      <c r="S97" s="278"/>
      <c r="T97" s="278"/>
      <c r="U97" s="278"/>
      <c r="V97" s="278"/>
      <c r="W97" s="278"/>
      <c r="X97" s="278"/>
      <c r="Y97" s="60"/>
      <c r="Z97" s="30"/>
    </row>
    <row r="98" spans="2:26" x14ac:dyDescent="0.35">
      <c r="B98" s="30"/>
      <c r="C98" s="30"/>
      <c r="D98" s="30"/>
      <c r="E98" s="30"/>
      <c r="F98" s="30"/>
      <c r="G98" s="30"/>
      <c r="H98" s="30"/>
      <c r="I98" s="60"/>
      <c r="J98" s="60"/>
      <c r="K98" s="95"/>
      <c r="L98" s="95"/>
      <c r="M98" s="95"/>
      <c r="N98" s="94"/>
      <c r="O98" s="94"/>
      <c r="P98" s="94"/>
      <c r="Q98" s="94"/>
      <c r="R98" s="60"/>
      <c r="S98" s="60"/>
      <c r="T98" s="60"/>
      <c r="U98" s="60"/>
      <c r="V98" s="60"/>
      <c r="W98" s="60"/>
      <c r="X98" s="60"/>
      <c r="Y98" s="60"/>
      <c r="Z98" s="30"/>
    </row>
    <row r="99" spans="2:26" ht="15" customHeight="1" x14ac:dyDescent="0.35">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spans="2:26" x14ac:dyDescent="0.35">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spans="2:26" x14ac:dyDescent="0.35">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spans="2:26" x14ac:dyDescent="0.35">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spans="2:26" x14ac:dyDescent="0.35">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spans="2:26" x14ac:dyDescent="0.35">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spans="2:26" x14ac:dyDescent="0.35">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spans="2:26" x14ac:dyDescent="0.35">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spans="2:26" x14ac:dyDescent="0.35">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spans="2:26" x14ac:dyDescent="0.35">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spans="2:26" x14ac:dyDescent="0.35">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spans="2:26" x14ac:dyDescent="0.35">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spans="2:26" x14ac:dyDescent="0.35">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spans="2:26" x14ac:dyDescent="0.35">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spans="2:26" x14ac:dyDescent="0.35">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spans="2:26" x14ac:dyDescent="0.35">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spans="2:26" x14ac:dyDescent="0.35">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spans="2:26" x14ac:dyDescent="0.35">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spans="2:26" x14ac:dyDescent="0.35">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spans="2:26" x14ac:dyDescent="0.35">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spans="2:26" x14ac:dyDescent="0.35">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spans="2:26" x14ac:dyDescent="0.35">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spans="2:26" x14ac:dyDescent="0.35">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spans="2:26" x14ac:dyDescent="0.35">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spans="2:26" x14ac:dyDescent="0.35">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spans="2:26" x14ac:dyDescent="0.35">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spans="2:26" x14ac:dyDescent="0.35">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spans="2:26" x14ac:dyDescent="0.35">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spans="2:26" x14ac:dyDescent="0.35">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spans="2:26" x14ac:dyDescent="0.35">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spans="2:26" x14ac:dyDescent="0.35">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spans="2:26" x14ac:dyDescent="0.35">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spans="2:26" x14ac:dyDescent="0.35">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spans="2:26" x14ac:dyDescent="0.35">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spans="2:26" x14ac:dyDescent="0.35">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spans="2:26" x14ac:dyDescent="0.35">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spans="2:26" x14ac:dyDescent="0.35">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spans="2:26" x14ac:dyDescent="0.35">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spans="2:26" x14ac:dyDescent="0.35">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spans="2:26" x14ac:dyDescent="0.35">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spans="2:26" x14ac:dyDescent="0.35">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spans="2:26" x14ac:dyDescent="0.35">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spans="2:26" x14ac:dyDescent="0.35">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spans="2:26" x14ac:dyDescent="0.35">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spans="2:26" x14ac:dyDescent="0.35">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spans="2:26" x14ac:dyDescent="0.35">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spans="2:26" x14ac:dyDescent="0.35">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spans="2:26" x14ac:dyDescent="0.35">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spans="2:26" x14ac:dyDescent="0.35">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spans="2:26" x14ac:dyDescent="0.35">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spans="2:26" x14ac:dyDescent="0.35">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spans="2:26" x14ac:dyDescent="0.35">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spans="2:26" x14ac:dyDescent="0.35">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spans="2:26" x14ac:dyDescent="0.35">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spans="2:26" x14ac:dyDescent="0.35">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spans="2:26" x14ac:dyDescent="0.35">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spans="2:26" x14ac:dyDescent="0.35">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spans="2:26" x14ac:dyDescent="0.35">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spans="2:26" x14ac:dyDescent="0.35">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spans="2:26" x14ac:dyDescent="0.35">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spans="2:26" x14ac:dyDescent="0.35">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spans="2:26" x14ac:dyDescent="0.35">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spans="2:26" x14ac:dyDescent="0.35">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spans="2:26" x14ac:dyDescent="0.35">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spans="2:26" x14ac:dyDescent="0.35">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spans="2:26" x14ac:dyDescent="0.35">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spans="2:26" x14ac:dyDescent="0.35">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spans="2:26" x14ac:dyDescent="0.35">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spans="2:26" x14ac:dyDescent="0.35">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spans="2:26" x14ac:dyDescent="0.35">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spans="2:26" x14ac:dyDescent="0.35">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spans="2:26" x14ac:dyDescent="0.35">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spans="2:26" x14ac:dyDescent="0.35">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spans="2:26" x14ac:dyDescent="0.35">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spans="2:26" x14ac:dyDescent="0.35">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spans="2:26" x14ac:dyDescent="0.35">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spans="2:26" x14ac:dyDescent="0.35">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spans="2:26" x14ac:dyDescent="0.35">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spans="2:26" x14ac:dyDescent="0.35">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spans="2:26" x14ac:dyDescent="0.35">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spans="2:26" x14ac:dyDescent="0.35">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spans="2:26" x14ac:dyDescent="0.35">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spans="2:26" x14ac:dyDescent="0.35">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spans="2:26" x14ac:dyDescent="0.35">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spans="2:26" x14ac:dyDescent="0.35">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spans="2:26" x14ac:dyDescent="0.35">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spans="2:26" x14ac:dyDescent="0.35">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spans="2:26" x14ac:dyDescent="0.35">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spans="2:26" x14ac:dyDescent="0.35">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spans="2:26" x14ac:dyDescent="0.35">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spans="2:26" x14ac:dyDescent="0.35">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spans="2:26" x14ac:dyDescent="0.35">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spans="2:26" x14ac:dyDescent="0.35">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spans="2:26" x14ac:dyDescent="0.35">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spans="2:26" x14ac:dyDescent="0.35">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spans="2:26" x14ac:dyDescent="0.35">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spans="2:26" x14ac:dyDescent="0.35">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spans="2:26" x14ac:dyDescent="0.35">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spans="2:26" x14ac:dyDescent="0.35">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spans="2:26" x14ac:dyDescent="0.35">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spans="2:26" x14ac:dyDescent="0.35">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spans="2:26" x14ac:dyDescent="0.35">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spans="2:26" x14ac:dyDescent="0.35">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spans="2:26" x14ac:dyDescent="0.35">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spans="2:26" x14ac:dyDescent="0.35">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spans="2:26" x14ac:dyDescent="0.35">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spans="2:26" x14ac:dyDescent="0.35">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spans="2:26" x14ac:dyDescent="0.35">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spans="2:26" x14ac:dyDescent="0.35">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spans="2:26" x14ac:dyDescent="0.35">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spans="2:26" x14ac:dyDescent="0.35">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spans="2:26" x14ac:dyDescent="0.35">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spans="2:26" x14ac:dyDescent="0.35">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spans="2:26" x14ac:dyDescent="0.35">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spans="2:26" x14ac:dyDescent="0.35">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spans="2:26" x14ac:dyDescent="0.35">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spans="2:26" x14ac:dyDescent="0.35">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spans="2:26" x14ac:dyDescent="0.35">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spans="2:26" x14ac:dyDescent="0.35">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spans="2:26" x14ac:dyDescent="0.35">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spans="2:26" x14ac:dyDescent="0.35">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spans="2:26" x14ac:dyDescent="0.35">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spans="2:26" x14ac:dyDescent="0.35">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spans="2:26" x14ac:dyDescent="0.35">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spans="2:26" x14ac:dyDescent="0.35">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spans="2:26" x14ac:dyDescent="0.35">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spans="2:26" x14ac:dyDescent="0.35">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spans="2:26" x14ac:dyDescent="0.35">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spans="2:26" x14ac:dyDescent="0.35">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spans="2:26" x14ac:dyDescent="0.35">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spans="2:26" x14ac:dyDescent="0.35">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spans="2:26" x14ac:dyDescent="0.35">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spans="2:26" x14ac:dyDescent="0.35">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spans="2:26" x14ac:dyDescent="0.35">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spans="2:26" x14ac:dyDescent="0.35">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spans="2:26" x14ac:dyDescent="0.35">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spans="2:26" x14ac:dyDescent="0.35">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spans="2:26" x14ac:dyDescent="0.35">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spans="2:26" x14ac:dyDescent="0.35">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spans="2:26" x14ac:dyDescent="0.35">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spans="2:26" x14ac:dyDescent="0.35">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spans="2:26" x14ac:dyDescent="0.35">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spans="2:26" x14ac:dyDescent="0.35">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spans="2:26" x14ac:dyDescent="0.35">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spans="2:26" x14ac:dyDescent="0.35">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spans="2:26" x14ac:dyDescent="0.35">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spans="2:26" x14ac:dyDescent="0.35">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spans="2:26" x14ac:dyDescent="0.35">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spans="2:26" x14ac:dyDescent="0.35">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spans="2:26" x14ac:dyDescent="0.35">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spans="2:26" x14ac:dyDescent="0.35">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spans="2:26" x14ac:dyDescent="0.35">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spans="2:26" x14ac:dyDescent="0.35">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spans="2:26" x14ac:dyDescent="0.35">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spans="2:26" x14ac:dyDescent="0.35">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spans="2:26" x14ac:dyDescent="0.35">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spans="2:26" x14ac:dyDescent="0.35">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spans="2:26" x14ac:dyDescent="0.35">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spans="2:26" x14ac:dyDescent="0.35">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spans="2:26" x14ac:dyDescent="0.35">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spans="2:26" x14ac:dyDescent="0.35">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spans="2:26" x14ac:dyDescent="0.35">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spans="2:26" x14ac:dyDescent="0.35">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spans="2:26" x14ac:dyDescent="0.35">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spans="2:26" x14ac:dyDescent="0.35">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spans="2:26" x14ac:dyDescent="0.35">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spans="2:26" x14ac:dyDescent="0.35">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spans="2:26" x14ac:dyDescent="0.35">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spans="2:26" x14ac:dyDescent="0.35">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spans="2:26" x14ac:dyDescent="0.35">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spans="2:26" x14ac:dyDescent="0.35">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spans="2:26" x14ac:dyDescent="0.35">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spans="2:26" x14ac:dyDescent="0.35">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spans="2:26" x14ac:dyDescent="0.35">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spans="2:26" x14ac:dyDescent="0.35">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spans="2:26" x14ac:dyDescent="0.35">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spans="2:26" x14ac:dyDescent="0.35">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spans="2:26" x14ac:dyDescent="0.35">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spans="2:26" x14ac:dyDescent="0.35">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spans="2:26" x14ac:dyDescent="0.35">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spans="2:26" x14ac:dyDescent="0.35">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spans="2:26" x14ac:dyDescent="0.35">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spans="2:26" x14ac:dyDescent="0.35">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spans="2:26" x14ac:dyDescent="0.35">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spans="2:26" x14ac:dyDescent="0.35">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spans="2:26" x14ac:dyDescent="0.35">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spans="2:26" x14ac:dyDescent="0.35">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spans="2:26" x14ac:dyDescent="0.35">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spans="2:26" x14ac:dyDescent="0.35">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spans="2:26" x14ac:dyDescent="0.35">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spans="2:26" x14ac:dyDescent="0.35">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spans="2:26" x14ac:dyDescent="0.35">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spans="2:26" x14ac:dyDescent="0.35">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spans="2:26" x14ac:dyDescent="0.35">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spans="2:26" x14ac:dyDescent="0.35">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spans="2:26" x14ac:dyDescent="0.35">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spans="2:26" x14ac:dyDescent="0.35">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spans="2:26" x14ac:dyDescent="0.35">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spans="2:26" x14ac:dyDescent="0.35">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spans="2:26" x14ac:dyDescent="0.35">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spans="2:26" x14ac:dyDescent="0.35">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spans="2:26" x14ac:dyDescent="0.35">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spans="2:26" x14ac:dyDescent="0.35">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spans="2:26" x14ac:dyDescent="0.35">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spans="2:26" x14ac:dyDescent="0.35">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spans="2:26" x14ac:dyDescent="0.35">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spans="2:26" x14ac:dyDescent="0.35">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spans="2:26" x14ac:dyDescent="0.35">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spans="2:26" x14ac:dyDescent="0.35">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spans="2:26" x14ac:dyDescent="0.35">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spans="2:26" x14ac:dyDescent="0.35">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spans="2:26" x14ac:dyDescent="0.35">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spans="2:26" x14ac:dyDescent="0.35">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spans="2:26" x14ac:dyDescent="0.35">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spans="2:26" x14ac:dyDescent="0.35">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spans="2:26" x14ac:dyDescent="0.35">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spans="2:26" x14ac:dyDescent="0.35">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spans="2:26" x14ac:dyDescent="0.35">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spans="2:26" x14ac:dyDescent="0.35">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spans="2:26" x14ac:dyDescent="0.35">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spans="2:26" x14ac:dyDescent="0.35">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spans="2:26" x14ac:dyDescent="0.35">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spans="2:26" x14ac:dyDescent="0.35">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spans="2:26" x14ac:dyDescent="0.35">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spans="2:26" x14ac:dyDescent="0.35">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spans="2:26" x14ac:dyDescent="0.35">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spans="2:26" x14ac:dyDescent="0.35">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spans="2:26" x14ac:dyDescent="0.35">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spans="2:26" x14ac:dyDescent="0.35">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spans="2:26" x14ac:dyDescent="0.35">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spans="2:26" x14ac:dyDescent="0.35">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spans="2:26" x14ac:dyDescent="0.35">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spans="2:26" x14ac:dyDescent="0.35">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spans="2:26" x14ac:dyDescent="0.35">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spans="2:26" x14ac:dyDescent="0.35">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spans="2:26" x14ac:dyDescent="0.35">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spans="2:26" x14ac:dyDescent="0.35">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spans="2:26" x14ac:dyDescent="0.35">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spans="2:26" x14ac:dyDescent="0.35">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spans="2:26" x14ac:dyDescent="0.35">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spans="2:26" x14ac:dyDescent="0.35">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spans="2:26" x14ac:dyDescent="0.35">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spans="2:26" x14ac:dyDescent="0.35">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spans="2:26" x14ac:dyDescent="0.35">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spans="2:26" x14ac:dyDescent="0.35">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spans="2:26" x14ac:dyDescent="0.35">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spans="2:26" x14ac:dyDescent="0.35">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spans="2:26" x14ac:dyDescent="0.35">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spans="2:26" x14ac:dyDescent="0.35">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spans="2:26" x14ac:dyDescent="0.35">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spans="2:26" x14ac:dyDescent="0.35">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spans="2:26" x14ac:dyDescent="0.35">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spans="2:26" x14ac:dyDescent="0.35">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spans="2:26" x14ac:dyDescent="0.35">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spans="2:26" x14ac:dyDescent="0.35">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spans="2:26" x14ac:dyDescent="0.35">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spans="2:26" x14ac:dyDescent="0.35">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spans="2:26" x14ac:dyDescent="0.35">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spans="2:26" x14ac:dyDescent="0.35">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spans="2:26" x14ac:dyDescent="0.35">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spans="2:26" x14ac:dyDescent="0.35">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spans="2:26" x14ac:dyDescent="0.35">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spans="2:26" x14ac:dyDescent="0.35">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spans="2:26" x14ac:dyDescent="0.35">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spans="2:26" x14ac:dyDescent="0.35">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spans="2:26" x14ac:dyDescent="0.35">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spans="2:26" x14ac:dyDescent="0.35">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spans="2:26" x14ac:dyDescent="0.35">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spans="2:26" x14ac:dyDescent="0.35">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spans="2:26" x14ac:dyDescent="0.35">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spans="2:26" x14ac:dyDescent="0.35">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spans="2:26" x14ac:dyDescent="0.35">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spans="2:26" x14ac:dyDescent="0.35">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spans="2:26" x14ac:dyDescent="0.35">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spans="2:26" x14ac:dyDescent="0.35">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spans="2:26" x14ac:dyDescent="0.35">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spans="2:26" x14ac:dyDescent="0.35">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spans="2:26" x14ac:dyDescent="0.35">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spans="2:26" x14ac:dyDescent="0.35">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spans="2:26" x14ac:dyDescent="0.35">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spans="2:26" x14ac:dyDescent="0.35">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spans="2:26" x14ac:dyDescent="0.35">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spans="2:26" x14ac:dyDescent="0.35">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spans="2:26" x14ac:dyDescent="0.35">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spans="2:26" x14ac:dyDescent="0.35">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spans="2:26" x14ac:dyDescent="0.35">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spans="2:26" x14ac:dyDescent="0.35">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spans="2:26" x14ac:dyDescent="0.35">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spans="2:26" x14ac:dyDescent="0.35">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spans="2:26" x14ac:dyDescent="0.35">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spans="2:26" x14ac:dyDescent="0.35">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spans="2:26" x14ac:dyDescent="0.35">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spans="2:26" x14ac:dyDescent="0.35">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spans="2:26" x14ac:dyDescent="0.35">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spans="2:26" x14ac:dyDescent="0.35">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spans="2:26" x14ac:dyDescent="0.35">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spans="2:26" x14ac:dyDescent="0.35">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spans="2:26" x14ac:dyDescent="0.35">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spans="2:26" x14ac:dyDescent="0.35">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spans="2:26" x14ac:dyDescent="0.35">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spans="2:26" x14ac:dyDescent="0.35">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spans="2:26" x14ac:dyDescent="0.35">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spans="2:26" x14ac:dyDescent="0.35">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spans="2:26" x14ac:dyDescent="0.35">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spans="2:26" x14ac:dyDescent="0.35">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spans="2:26" x14ac:dyDescent="0.35">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spans="2:26" x14ac:dyDescent="0.35">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spans="2:26" x14ac:dyDescent="0.35">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spans="2:26" x14ac:dyDescent="0.35">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spans="2:26" x14ac:dyDescent="0.35">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spans="2:26" x14ac:dyDescent="0.35">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spans="2:26" x14ac:dyDescent="0.35">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spans="2:26" x14ac:dyDescent="0.35">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spans="2:26" x14ac:dyDescent="0.35">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spans="2:26" x14ac:dyDescent="0.35">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spans="2:26" x14ac:dyDescent="0.35">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spans="2:26" x14ac:dyDescent="0.35">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spans="2:26" x14ac:dyDescent="0.35">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spans="2:26" x14ac:dyDescent="0.35">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spans="2:26" x14ac:dyDescent="0.35">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spans="2:26" x14ac:dyDescent="0.35">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spans="2:26" x14ac:dyDescent="0.35">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spans="2:26" x14ac:dyDescent="0.35">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spans="2:26" x14ac:dyDescent="0.35">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spans="2:26" x14ac:dyDescent="0.35">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spans="2:26" x14ac:dyDescent="0.35">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spans="2:26" x14ac:dyDescent="0.35">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spans="2:26" x14ac:dyDescent="0.35">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spans="2:26" x14ac:dyDescent="0.35">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spans="2:26" x14ac:dyDescent="0.35">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spans="2:26" x14ac:dyDescent="0.35">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spans="2:26" x14ac:dyDescent="0.35">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spans="2:26" x14ac:dyDescent="0.35">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spans="2:26" x14ac:dyDescent="0.35">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spans="2:26" x14ac:dyDescent="0.35">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spans="2:26" x14ac:dyDescent="0.35">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spans="2:26" x14ac:dyDescent="0.35">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spans="2:26" x14ac:dyDescent="0.35">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spans="2:26" x14ac:dyDescent="0.35">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spans="2:26" x14ac:dyDescent="0.35">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spans="2:26" x14ac:dyDescent="0.35">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spans="2:26" x14ac:dyDescent="0.35">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spans="2:26" x14ac:dyDescent="0.35">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spans="2:26" x14ac:dyDescent="0.35">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spans="2:26" x14ac:dyDescent="0.35">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spans="2:26" x14ac:dyDescent="0.35">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spans="2:26" x14ac:dyDescent="0.35">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spans="2:26" x14ac:dyDescent="0.35">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spans="2:26" x14ac:dyDescent="0.35">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spans="2:26" x14ac:dyDescent="0.35">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spans="2:26" x14ac:dyDescent="0.35">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spans="2:26" x14ac:dyDescent="0.35">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spans="2:26" x14ac:dyDescent="0.35">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spans="2:26" x14ac:dyDescent="0.35">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spans="2:26" x14ac:dyDescent="0.35">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spans="2:26" x14ac:dyDescent="0.35">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spans="2:26" x14ac:dyDescent="0.35">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spans="2:26" x14ac:dyDescent="0.35">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spans="2:26" x14ac:dyDescent="0.35">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spans="2:26" x14ac:dyDescent="0.35">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spans="2:26" x14ac:dyDescent="0.35">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spans="2:26" x14ac:dyDescent="0.35">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spans="2:26" x14ac:dyDescent="0.35">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spans="2:26" x14ac:dyDescent="0.35">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spans="2:26" x14ac:dyDescent="0.35">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spans="2:26" x14ac:dyDescent="0.35">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spans="2:26" x14ac:dyDescent="0.35">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spans="2:26" x14ac:dyDescent="0.35">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spans="2:26" x14ac:dyDescent="0.35">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spans="2:26" x14ac:dyDescent="0.35">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spans="2:26" x14ac:dyDescent="0.35">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spans="2:26" x14ac:dyDescent="0.35">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spans="2:26" x14ac:dyDescent="0.35">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spans="2:26" x14ac:dyDescent="0.35">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spans="2:26" x14ac:dyDescent="0.35">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spans="2:26" x14ac:dyDescent="0.35">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spans="2:26" x14ac:dyDescent="0.35">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spans="2:26" x14ac:dyDescent="0.35">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spans="2:26" x14ac:dyDescent="0.35">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spans="2:26" x14ac:dyDescent="0.35">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spans="2:26" x14ac:dyDescent="0.35">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spans="2:26" x14ac:dyDescent="0.35">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spans="2:26" x14ac:dyDescent="0.35">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spans="2:26" x14ac:dyDescent="0.35">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spans="2:26" x14ac:dyDescent="0.35">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spans="2:26" x14ac:dyDescent="0.35">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spans="2:26" x14ac:dyDescent="0.35">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spans="2:26" x14ac:dyDescent="0.35">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spans="2:26" x14ac:dyDescent="0.35">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spans="2:26" x14ac:dyDescent="0.35">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spans="2:26" x14ac:dyDescent="0.35">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spans="2:26" x14ac:dyDescent="0.35">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spans="2:26" x14ac:dyDescent="0.35">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spans="2:26" x14ac:dyDescent="0.35">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spans="2:26" x14ac:dyDescent="0.35">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spans="2:26" x14ac:dyDescent="0.35">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spans="2:26" x14ac:dyDescent="0.35">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spans="2:26" x14ac:dyDescent="0.35">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spans="2:26" x14ac:dyDescent="0.35">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spans="2:26" x14ac:dyDescent="0.35">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spans="2:26" x14ac:dyDescent="0.35">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spans="2:26" x14ac:dyDescent="0.35">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spans="2:26" x14ac:dyDescent="0.35">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spans="2:26" x14ac:dyDescent="0.35">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spans="2:26" x14ac:dyDescent="0.35">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spans="2:26" x14ac:dyDescent="0.35">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spans="2:26" x14ac:dyDescent="0.35">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spans="2:26" x14ac:dyDescent="0.35">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spans="2:26" x14ac:dyDescent="0.35">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spans="2:26" x14ac:dyDescent="0.35">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spans="2:26" x14ac:dyDescent="0.35">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spans="2:26" x14ac:dyDescent="0.35">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spans="2:26" x14ac:dyDescent="0.35">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spans="2:26" x14ac:dyDescent="0.35">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spans="2:26" x14ac:dyDescent="0.35">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spans="2:26" x14ac:dyDescent="0.35">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spans="2:26" x14ac:dyDescent="0.35">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spans="2:26" x14ac:dyDescent="0.35">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spans="2:26" x14ac:dyDescent="0.35">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spans="2:26" x14ac:dyDescent="0.35">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spans="2:26" x14ac:dyDescent="0.35">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spans="2:26" x14ac:dyDescent="0.35">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spans="2:26" x14ac:dyDescent="0.35">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spans="2:26" x14ac:dyDescent="0.35">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spans="2:26" x14ac:dyDescent="0.35">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spans="2:26" x14ac:dyDescent="0.35">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spans="2:26" x14ac:dyDescent="0.35">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spans="2:26" x14ac:dyDescent="0.35">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spans="2:26" x14ac:dyDescent="0.35">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spans="2:26" x14ac:dyDescent="0.35">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spans="2:26" x14ac:dyDescent="0.35">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spans="2:26" x14ac:dyDescent="0.35">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spans="2:26" x14ac:dyDescent="0.35">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spans="2:26" x14ac:dyDescent="0.35">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spans="2:26" x14ac:dyDescent="0.35">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spans="2:26" x14ac:dyDescent="0.35">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spans="2:26" x14ac:dyDescent="0.35">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spans="2:26" x14ac:dyDescent="0.35">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spans="2:26" x14ac:dyDescent="0.35">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spans="2:26" x14ac:dyDescent="0.35">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spans="2:26" x14ac:dyDescent="0.35">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spans="2:26" x14ac:dyDescent="0.35">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spans="2:26" x14ac:dyDescent="0.35">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spans="2:26" x14ac:dyDescent="0.35">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spans="2:26" x14ac:dyDescent="0.35">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spans="2:26" x14ac:dyDescent="0.35">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spans="2:26" x14ac:dyDescent="0.35">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spans="2:26" x14ac:dyDescent="0.35">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spans="2:26" x14ac:dyDescent="0.35">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spans="2:26" x14ac:dyDescent="0.35">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spans="2:26" x14ac:dyDescent="0.35">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spans="2:26" x14ac:dyDescent="0.35">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spans="2:26" x14ac:dyDescent="0.35">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spans="2:26" x14ac:dyDescent="0.35">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spans="2:26" x14ac:dyDescent="0.35">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spans="2:26" x14ac:dyDescent="0.35">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spans="2:26" x14ac:dyDescent="0.35">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spans="2:26" x14ac:dyDescent="0.35">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spans="2:26" x14ac:dyDescent="0.35">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spans="2:26" x14ac:dyDescent="0.35">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spans="2:26" x14ac:dyDescent="0.35">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spans="2:26" x14ac:dyDescent="0.35">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spans="2:26" x14ac:dyDescent="0.35">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spans="2:26" x14ac:dyDescent="0.35">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spans="2:26" x14ac:dyDescent="0.35">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spans="2:26" x14ac:dyDescent="0.35">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spans="2:26" x14ac:dyDescent="0.35">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spans="2:26" x14ac:dyDescent="0.35">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spans="2:26" x14ac:dyDescent="0.35">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spans="2:26" x14ac:dyDescent="0.35">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spans="2:26" x14ac:dyDescent="0.35">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spans="2:26" x14ac:dyDescent="0.35">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spans="2:26" x14ac:dyDescent="0.35">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spans="2:26" x14ac:dyDescent="0.35">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spans="2:26" x14ac:dyDescent="0.35">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spans="2:26" x14ac:dyDescent="0.35">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spans="2:26" x14ac:dyDescent="0.35">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spans="2:26" x14ac:dyDescent="0.35">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spans="2:26" x14ac:dyDescent="0.35">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spans="2:26" x14ac:dyDescent="0.35">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spans="2:26" x14ac:dyDescent="0.35">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spans="2:26" x14ac:dyDescent="0.35">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spans="2:26" x14ac:dyDescent="0.35">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spans="2:26" x14ac:dyDescent="0.35">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spans="2:26" x14ac:dyDescent="0.35">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spans="2:26" x14ac:dyDescent="0.35">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spans="2:26" x14ac:dyDescent="0.35">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spans="2:26" x14ac:dyDescent="0.35">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spans="2:26" x14ac:dyDescent="0.35">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spans="2:26" x14ac:dyDescent="0.35">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spans="2:26" x14ac:dyDescent="0.35">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spans="2:26" x14ac:dyDescent="0.35">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spans="2:26" x14ac:dyDescent="0.35">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spans="2:26" x14ac:dyDescent="0.35">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spans="2:26" x14ac:dyDescent="0.35">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spans="2:26" x14ac:dyDescent="0.35">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spans="2:26" x14ac:dyDescent="0.35">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spans="2:26" x14ac:dyDescent="0.35">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spans="2:26" x14ac:dyDescent="0.35">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spans="2:26" x14ac:dyDescent="0.35">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spans="2:26" x14ac:dyDescent="0.35">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spans="2:26" x14ac:dyDescent="0.35">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spans="2:26" x14ac:dyDescent="0.35">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spans="2:26" x14ac:dyDescent="0.35">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spans="2:26" x14ac:dyDescent="0.35">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spans="2:26" x14ac:dyDescent="0.35">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spans="2:26" x14ac:dyDescent="0.35">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spans="2:26" x14ac:dyDescent="0.35">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spans="2:26" x14ac:dyDescent="0.35">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spans="2:26" x14ac:dyDescent="0.35">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spans="2:26" x14ac:dyDescent="0.35">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spans="2:26" x14ac:dyDescent="0.35">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spans="2:26" x14ac:dyDescent="0.35">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spans="2:26" x14ac:dyDescent="0.35">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spans="2:26" x14ac:dyDescent="0.35">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spans="2:26" x14ac:dyDescent="0.35">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spans="2:26" x14ac:dyDescent="0.35">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spans="2:26" x14ac:dyDescent="0.35">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spans="2:26" x14ac:dyDescent="0.35">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spans="2:26" x14ac:dyDescent="0.35">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spans="2:26" x14ac:dyDescent="0.35">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spans="2:26" x14ac:dyDescent="0.35">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spans="2:26" x14ac:dyDescent="0.35">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spans="2:26" x14ac:dyDescent="0.35">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spans="2:26" x14ac:dyDescent="0.35">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spans="2:26" x14ac:dyDescent="0.35">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spans="2:26" x14ac:dyDescent="0.35">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spans="2:26" x14ac:dyDescent="0.35">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spans="2:26" x14ac:dyDescent="0.35">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spans="2:26" x14ac:dyDescent="0.35">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spans="2:26" x14ac:dyDescent="0.35">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spans="2:26" x14ac:dyDescent="0.35">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spans="2:26" x14ac:dyDescent="0.35">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spans="2:26" x14ac:dyDescent="0.35">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spans="2:26" x14ac:dyDescent="0.35">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spans="2:26" x14ac:dyDescent="0.35">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spans="2:26" x14ac:dyDescent="0.35">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spans="2:26" x14ac:dyDescent="0.35">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spans="2:26" x14ac:dyDescent="0.35">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spans="2:26" x14ac:dyDescent="0.35">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spans="2:26" x14ac:dyDescent="0.35">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spans="2:26" x14ac:dyDescent="0.35">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spans="2:26" x14ac:dyDescent="0.35">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spans="2:26" x14ac:dyDescent="0.35">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spans="2:26" x14ac:dyDescent="0.35">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spans="2:26" x14ac:dyDescent="0.35">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spans="2:26" x14ac:dyDescent="0.35">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spans="2:26" x14ac:dyDescent="0.35">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spans="2:26" x14ac:dyDescent="0.35">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spans="2:26" x14ac:dyDescent="0.35">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spans="2:26" x14ac:dyDescent="0.35">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spans="2:26" x14ac:dyDescent="0.35">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spans="2:26" x14ac:dyDescent="0.35">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spans="2:26" x14ac:dyDescent="0.35">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spans="2:26" x14ac:dyDescent="0.35">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spans="2:26" x14ac:dyDescent="0.35">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spans="2:26" x14ac:dyDescent="0.35">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spans="2:26" x14ac:dyDescent="0.35">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spans="2:26" x14ac:dyDescent="0.35">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spans="2:26" x14ac:dyDescent="0.35">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spans="2:26" x14ac:dyDescent="0.35">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spans="2:26" x14ac:dyDescent="0.35">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spans="2:26" x14ac:dyDescent="0.35">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spans="2:26" x14ac:dyDescent="0.35">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spans="2:26" x14ac:dyDescent="0.35">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spans="2:26" x14ac:dyDescent="0.35">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spans="2:26" x14ac:dyDescent="0.35">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spans="2:26" x14ac:dyDescent="0.35">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spans="2:26" x14ac:dyDescent="0.35">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spans="2:26" x14ac:dyDescent="0.35">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spans="2:26" x14ac:dyDescent="0.35">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spans="2:26" x14ac:dyDescent="0.35">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spans="2:26" x14ac:dyDescent="0.35">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spans="2:26" x14ac:dyDescent="0.35">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spans="2:26" x14ac:dyDescent="0.35">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spans="2:26" x14ac:dyDescent="0.35">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spans="2:26" x14ac:dyDescent="0.35">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spans="2:26" x14ac:dyDescent="0.35">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spans="2:26" x14ac:dyDescent="0.35">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spans="2:26" x14ac:dyDescent="0.35">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spans="2:26" x14ac:dyDescent="0.35">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spans="2:26" x14ac:dyDescent="0.35">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spans="2:26" x14ac:dyDescent="0.35">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spans="2:26" x14ac:dyDescent="0.35">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spans="2:26" x14ac:dyDescent="0.35">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spans="2:26" x14ac:dyDescent="0.35">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spans="2:26" x14ac:dyDescent="0.35">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spans="2:26" x14ac:dyDescent="0.35">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spans="2:26" x14ac:dyDescent="0.35">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spans="2:26" x14ac:dyDescent="0.35">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spans="2:26" x14ac:dyDescent="0.35">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spans="2:26" x14ac:dyDescent="0.35">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spans="2:26" x14ac:dyDescent="0.35">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spans="2:26" x14ac:dyDescent="0.35">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spans="2:26" x14ac:dyDescent="0.35">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spans="2:26" x14ac:dyDescent="0.35">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spans="2:26" x14ac:dyDescent="0.35">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spans="2:26" x14ac:dyDescent="0.35">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spans="2:26" x14ac:dyDescent="0.35">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spans="2:26" x14ac:dyDescent="0.35">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spans="2:26" x14ac:dyDescent="0.35">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spans="2:26" x14ac:dyDescent="0.35">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spans="2:26" x14ac:dyDescent="0.35">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spans="2:26" x14ac:dyDescent="0.35">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spans="2:26" x14ac:dyDescent="0.35">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spans="2:26" x14ac:dyDescent="0.35">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spans="2:26" x14ac:dyDescent="0.35">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spans="2:26" x14ac:dyDescent="0.35">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spans="2:26" x14ac:dyDescent="0.35">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spans="2:26" x14ac:dyDescent="0.35">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spans="2:26" x14ac:dyDescent="0.35">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spans="2:26" x14ac:dyDescent="0.35">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spans="2:26" x14ac:dyDescent="0.35">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spans="2:26" x14ac:dyDescent="0.35">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spans="2:26" x14ac:dyDescent="0.35">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spans="2:26" x14ac:dyDescent="0.35">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spans="2:26" x14ac:dyDescent="0.35">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spans="2:26" x14ac:dyDescent="0.35">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spans="2:26" x14ac:dyDescent="0.35">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spans="2:26" x14ac:dyDescent="0.35">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spans="2:26" x14ac:dyDescent="0.35">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spans="2:26" x14ac:dyDescent="0.35">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spans="2:26" x14ac:dyDescent="0.35">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spans="2:26" x14ac:dyDescent="0.35">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spans="2:26" x14ac:dyDescent="0.35">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spans="2:26" x14ac:dyDescent="0.35">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spans="2:26" x14ac:dyDescent="0.35">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spans="2:26" x14ac:dyDescent="0.35">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spans="2:26" x14ac:dyDescent="0.35">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spans="2:26" x14ac:dyDescent="0.35">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spans="2:26" x14ac:dyDescent="0.35">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spans="2:26" x14ac:dyDescent="0.35">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spans="2:26" x14ac:dyDescent="0.35">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spans="2:26" x14ac:dyDescent="0.35">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spans="2:26" x14ac:dyDescent="0.35">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spans="2:26" x14ac:dyDescent="0.35">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spans="2:26" x14ac:dyDescent="0.35">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spans="2:26" x14ac:dyDescent="0.35">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spans="2:26" x14ac:dyDescent="0.35">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spans="2:26" x14ac:dyDescent="0.35">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spans="2:26" x14ac:dyDescent="0.35">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spans="2:26" x14ac:dyDescent="0.35">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spans="2:26" x14ac:dyDescent="0.35">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spans="2:26" x14ac:dyDescent="0.35">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spans="2:26" x14ac:dyDescent="0.35">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spans="2:26" x14ac:dyDescent="0.35">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spans="2:26" x14ac:dyDescent="0.35">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spans="2:26" x14ac:dyDescent="0.35">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spans="2:26" x14ac:dyDescent="0.35">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spans="2:26" x14ac:dyDescent="0.35">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spans="2:26" x14ac:dyDescent="0.35">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spans="2:26" x14ac:dyDescent="0.35">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spans="2:26" x14ac:dyDescent="0.35">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spans="2:26" x14ac:dyDescent="0.35">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spans="2:26" x14ac:dyDescent="0.35">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spans="2:26" x14ac:dyDescent="0.35">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spans="2:26" x14ac:dyDescent="0.35">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spans="2:26" x14ac:dyDescent="0.35">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spans="2:26" x14ac:dyDescent="0.35">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spans="2:26" x14ac:dyDescent="0.35">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spans="2:26" x14ac:dyDescent="0.35">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spans="2:26" x14ac:dyDescent="0.35">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spans="2:26" x14ac:dyDescent="0.35">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spans="2:26" x14ac:dyDescent="0.35">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spans="2:26" x14ac:dyDescent="0.35">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spans="2:26" x14ac:dyDescent="0.35">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spans="2:26" x14ac:dyDescent="0.35">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spans="2:26" x14ac:dyDescent="0.35">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spans="2:26" x14ac:dyDescent="0.35">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spans="2:26" x14ac:dyDescent="0.35">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spans="2:26" x14ac:dyDescent="0.35">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spans="2:26" x14ac:dyDescent="0.35">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spans="2:26" x14ac:dyDescent="0.35">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spans="2:26" x14ac:dyDescent="0.35">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spans="2:26" x14ac:dyDescent="0.35">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spans="2:26" x14ac:dyDescent="0.35">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spans="2:26" x14ac:dyDescent="0.35">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spans="2:26" x14ac:dyDescent="0.35">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spans="2:26" x14ac:dyDescent="0.35">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spans="2:26" x14ac:dyDescent="0.35">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spans="2:26" x14ac:dyDescent="0.35">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spans="2:26" x14ac:dyDescent="0.35">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spans="2:26" x14ac:dyDescent="0.35">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spans="2:26" x14ac:dyDescent="0.35">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spans="2:26" x14ac:dyDescent="0.35">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spans="2:26" x14ac:dyDescent="0.35">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spans="2:26" x14ac:dyDescent="0.35">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spans="2:26" x14ac:dyDescent="0.35">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spans="2:26" x14ac:dyDescent="0.35">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spans="2:26" x14ac:dyDescent="0.35">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spans="2:26" x14ac:dyDescent="0.35">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spans="2:26" x14ac:dyDescent="0.35">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spans="2:26" x14ac:dyDescent="0.35">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spans="2:26" x14ac:dyDescent="0.35">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spans="2:26" x14ac:dyDescent="0.35">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spans="2:26" x14ac:dyDescent="0.35">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spans="2:26" x14ac:dyDescent="0.35">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spans="2:26" x14ac:dyDescent="0.35">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spans="2:26" x14ac:dyDescent="0.35">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spans="2:26" x14ac:dyDescent="0.35">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spans="2:26" x14ac:dyDescent="0.35">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spans="2:26" x14ac:dyDescent="0.35">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spans="2:26" x14ac:dyDescent="0.35">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spans="2:26" x14ac:dyDescent="0.35">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spans="2:26" x14ac:dyDescent="0.35">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spans="2:26" x14ac:dyDescent="0.35">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spans="2:26" x14ac:dyDescent="0.35">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spans="2:26" x14ac:dyDescent="0.35">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spans="2:26" x14ac:dyDescent="0.35">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spans="2:26" x14ac:dyDescent="0.35">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spans="2:26" x14ac:dyDescent="0.35">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spans="2:26" x14ac:dyDescent="0.35">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spans="2:26" x14ac:dyDescent="0.35">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spans="2:26" x14ac:dyDescent="0.35">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spans="2:26" x14ac:dyDescent="0.35">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spans="2:26" x14ac:dyDescent="0.35">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spans="2:26" x14ac:dyDescent="0.35">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spans="2:26" x14ac:dyDescent="0.35">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spans="2:26" x14ac:dyDescent="0.35">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spans="2:26" x14ac:dyDescent="0.35">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spans="2:26" x14ac:dyDescent="0.35">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spans="2:26" x14ac:dyDescent="0.35">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spans="2:26" x14ac:dyDescent="0.35">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spans="2:26" x14ac:dyDescent="0.35">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spans="2:26" x14ac:dyDescent="0.35">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spans="2:26" x14ac:dyDescent="0.35">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spans="2:26" x14ac:dyDescent="0.35">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spans="2:26" x14ac:dyDescent="0.35">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spans="2:26" x14ac:dyDescent="0.35">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spans="2:26" x14ac:dyDescent="0.35">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spans="2:26" x14ac:dyDescent="0.35">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spans="2:26" x14ac:dyDescent="0.35">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spans="2:26" x14ac:dyDescent="0.35">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spans="2:26" x14ac:dyDescent="0.35">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spans="2:26" x14ac:dyDescent="0.35">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spans="2:26" x14ac:dyDescent="0.35">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spans="2:26" x14ac:dyDescent="0.35">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spans="2:26" x14ac:dyDescent="0.35">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spans="2:26" x14ac:dyDescent="0.35">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spans="2:26" x14ac:dyDescent="0.35">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spans="2:26" x14ac:dyDescent="0.35">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spans="2:26" x14ac:dyDescent="0.35">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spans="2:26" x14ac:dyDescent="0.35">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spans="2:26" x14ac:dyDescent="0.35">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spans="2:26" x14ac:dyDescent="0.35">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spans="2:26" x14ac:dyDescent="0.35">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spans="2:26" x14ac:dyDescent="0.35">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spans="2:26" x14ac:dyDescent="0.35">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spans="2:26" x14ac:dyDescent="0.35">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spans="2:26" x14ac:dyDescent="0.35">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spans="2:26" x14ac:dyDescent="0.35">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spans="2:26" x14ac:dyDescent="0.35">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spans="2:26" x14ac:dyDescent="0.35">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spans="2:26" x14ac:dyDescent="0.35">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spans="2:26" x14ac:dyDescent="0.35">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spans="2:26" x14ac:dyDescent="0.35">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spans="2:26" x14ac:dyDescent="0.35">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spans="2:26" x14ac:dyDescent="0.35">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spans="2:26" x14ac:dyDescent="0.35">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spans="2:26" x14ac:dyDescent="0.35">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spans="2:26" x14ac:dyDescent="0.35">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spans="2:26" x14ac:dyDescent="0.35">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spans="2:26" x14ac:dyDescent="0.35">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spans="2:26" x14ac:dyDescent="0.35">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spans="2:26" x14ac:dyDescent="0.35">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spans="2:26" x14ac:dyDescent="0.35">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spans="2:26" x14ac:dyDescent="0.35">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spans="2:26" x14ac:dyDescent="0.35">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spans="2:26" x14ac:dyDescent="0.35">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spans="2:26" x14ac:dyDescent="0.35">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spans="2:26" x14ac:dyDescent="0.35">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spans="2:26" x14ac:dyDescent="0.35">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spans="2:26" x14ac:dyDescent="0.35">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spans="2:26" x14ac:dyDescent="0.35">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spans="2:26" x14ac:dyDescent="0.35">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spans="2:26" x14ac:dyDescent="0.35">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spans="2:26" x14ac:dyDescent="0.35">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spans="2:26" x14ac:dyDescent="0.35">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spans="2:26" x14ac:dyDescent="0.35">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spans="2:26" x14ac:dyDescent="0.35">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spans="2:26" x14ac:dyDescent="0.35">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spans="2:26" x14ac:dyDescent="0.35">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spans="2:26" x14ac:dyDescent="0.35">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spans="2:26" x14ac:dyDescent="0.35">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spans="2:26" x14ac:dyDescent="0.35">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spans="2:26" x14ac:dyDescent="0.35">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spans="2:26" x14ac:dyDescent="0.35">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spans="2:26" x14ac:dyDescent="0.35">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spans="2:26" x14ac:dyDescent="0.35">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spans="2:26" x14ac:dyDescent="0.35">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spans="2:26" x14ac:dyDescent="0.35">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spans="2:26" x14ac:dyDescent="0.35">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spans="2:26" x14ac:dyDescent="0.35">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spans="2:26" x14ac:dyDescent="0.35">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spans="2:26" x14ac:dyDescent="0.35">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spans="2:26" x14ac:dyDescent="0.35">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spans="2:26" x14ac:dyDescent="0.35">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spans="2:26" x14ac:dyDescent="0.35">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spans="2:26" x14ac:dyDescent="0.35">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spans="2:26" x14ac:dyDescent="0.35">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spans="2:26" x14ac:dyDescent="0.35">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spans="2:26" x14ac:dyDescent="0.35">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spans="2:26" x14ac:dyDescent="0.35">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spans="2:26" x14ac:dyDescent="0.35">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spans="2:26" x14ac:dyDescent="0.35">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spans="2:26" x14ac:dyDescent="0.35">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spans="2:26" x14ac:dyDescent="0.35">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spans="2:26" x14ac:dyDescent="0.35">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spans="2:26" x14ac:dyDescent="0.35">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spans="2:26" x14ac:dyDescent="0.35">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spans="2:26" x14ac:dyDescent="0.35">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spans="2:26" x14ac:dyDescent="0.35">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spans="2:26" x14ac:dyDescent="0.35">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spans="2:26" x14ac:dyDescent="0.35">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spans="2:26" x14ac:dyDescent="0.35">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spans="2:26" x14ac:dyDescent="0.35">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spans="2:26" x14ac:dyDescent="0.35">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spans="2:26" x14ac:dyDescent="0.35">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spans="2:26" x14ac:dyDescent="0.35">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spans="2:26" x14ac:dyDescent="0.35">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spans="2:26" x14ac:dyDescent="0.35">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spans="2:26" x14ac:dyDescent="0.35">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spans="2:26" x14ac:dyDescent="0.35">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spans="2:26" x14ac:dyDescent="0.35">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spans="2:26" x14ac:dyDescent="0.35">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spans="2:26" x14ac:dyDescent="0.35">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spans="2:26" x14ac:dyDescent="0.35">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spans="2:26" x14ac:dyDescent="0.35">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spans="2:26" x14ac:dyDescent="0.35">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spans="2:26" x14ac:dyDescent="0.35">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spans="2:26" x14ac:dyDescent="0.35">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spans="2:26" x14ac:dyDescent="0.35">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spans="2:26" x14ac:dyDescent="0.35">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spans="2:26" x14ac:dyDescent="0.35">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spans="2:26" x14ac:dyDescent="0.35">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spans="2:26" x14ac:dyDescent="0.35">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spans="2:26" x14ac:dyDescent="0.35">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spans="2:26" x14ac:dyDescent="0.35">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spans="2:26" x14ac:dyDescent="0.35">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spans="2:26" x14ac:dyDescent="0.35">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spans="2:26" x14ac:dyDescent="0.35">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spans="2:26" x14ac:dyDescent="0.35">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spans="2:26" x14ac:dyDescent="0.35">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spans="2:26" x14ac:dyDescent="0.35">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spans="2:26" x14ac:dyDescent="0.35">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spans="2:26" x14ac:dyDescent="0.35">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spans="2:26" x14ac:dyDescent="0.35">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spans="2:26" x14ac:dyDescent="0.35">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spans="2:26" x14ac:dyDescent="0.35">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spans="2:26" x14ac:dyDescent="0.35">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spans="2:26" x14ac:dyDescent="0.35">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spans="2:26" x14ac:dyDescent="0.35">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spans="2:26" x14ac:dyDescent="0.35">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spans="2:26" x14ac:dyDescent="0.35">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spans="2:26" x14ac:dyDescent="0.35">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spans="2:26" x14ac:dyDescent="0.35">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spans="2:26" x14ac:dyDescent="0.35">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spans="2:26" x14ac:dyDescent="0.35">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spans="2:26" x14ac:dyDescent="0.35">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spans="2:26" x14ac:dyDescent="0.35">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spans="2:26" x14ac:dyDescent="0.35">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spans="2:26" x14ac:dyDescent="0.35">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spans="2:26" x14ac:dyDescent="0.35">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spans="2:26" x14ac:dyDescent="0.35">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spans="2:26" x14ac:dyDescent="0.35">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spans="2:26" x14ac:dyDescent="0.35">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spans="2:26" x14ac:dyDescent="0.35">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spans="2:26" x14ac:dyDescent="0.35">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spans="2:26" x14ac:dyDescent="0.35">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spans="2:26" x14ac:dyDescent="0.35">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spans="2:26" x14ac:dyDescent="0.35">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spans="2:26" x14ac:dyDescent="0.35">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spans="2:26" x14ac:dyDescent="0.35">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spans="2:26" x14ac:dyDescent="0.35">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spans="2:26" x14ac:dyDescent="0.35">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spans="2:26" x14ac:dyDescent="0.35">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spans="2:26" x14ac:dyDescent="0.35">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spans="2:26" x14ac:dyDescent="0.35">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spans="2:26" x14ac:dyDescent="0.35">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spans="2:26" x14ac:dyDescent="0.35">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spans="2:26" x14ac:dyDescent="0.35">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spans="2:26" x14ac:dyDescent="0.35">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spans="2:26" x14ac:dyDescent="0.35">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spans="2:26" x14ac:dyDescent="0.35">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spans="2:26" x14ac:dyDescent="0.35">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spans="2:26" x14ac:dyDescent="0.35">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spans="2:26" x14ac:dyDescent="0.35">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spans="2:26" x14ac:dyDescent="0.35">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spans="2:26" x14ac:dyDescent="0.35">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spans="2:26" x14ac:dyDescent="0.35">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spans="2:26" x14ac:dyDescent="0.35">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spans="2:26" x14ac:dyDescent="0.35">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spans="2:26" x14ac:dyDescent="0.35">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spans="2:26" x14ac:dyDescent="0.35">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spans="2:26" x14ac:dyDescent="0.35">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spans="2:26" x14ac:dyDescent="0.35">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spans="2:26" x14ac:dyDescent="0.35">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spans="2:26" x14ac:dyDescent="0.35">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spans="2:26" x14ac:dyDescent="0.35">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spans="2:26" x14ac:dyDescent="0.35">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spans="2:26" x14ac:dyDescent="0.35">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spans="2:26" x14ac:dyDescent="0.35">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spans="2:26" x14ac:dyDescent="0.35">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row r="1002" spans="2:26" x14ac:dyDescent="0.35">
      <c r="B1002" s="29"/>
      <c r="C1002" s="2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row>
    <row r="1003" spans="2:26" x14ac:dyDescent="0.35">
      <c r="B1003" s="29"/>
      <c r="C1003" s="29"/>
      <c r="D1003" s="29"/>
      <c r="E1003" s="29"/>
      <c r="F1003" s="29"/>
      <c r="G1003" s="29"/>
      <c r="H1003" s="29"/>
      <c r="I1003" s="29"/>
      <c r="J1003" s="29"/>
      <c r="K1003" s="29"/>
      <c r="L1003" s="29"/>
      <c r="M1003" s="29"/>
      <c r="N1003" s="29"/>
      <c r="O1003" s="29"/>
      <c r="P1003" s="29"/>
      <c r="Q1003" s="29"/>
      <c r="R1003" s="29"/>
      <c r="S1003" s="29"/>
      <c r="T1003" s="29"/>
      <c r="U1003" s="29"/>
      <c r="V1003" s="29"/>
      <c r="W1003" s="29"/>
      <c r="X1003" s="29"/>
      <c r="Y1003" s="29"/>
      <c r="Z1003" s="29"/>
    </row>
    <row r="1004" spans="2:26" x14ac:dyDescent="0.35">
      <c r="B1004" s="29"/>
      <c r="C1004" s="29"/>
      <c r="D1004" s="29"/>
      <c r="E1004" s="29"/>
      <c r="F1004" s="29"/>
      <c r="G1004" s="29"/>
      <c r="H1004" s="29"/>
      <c r="I1004" s="29"/>
      <c r="J1004" s="29"/>
      <c r="K1004" s="29"/>
      <c r="L1004" s="29"/>
      <c r="M1004" s="29"/>
      <c r="N1004" s="29"/>
      <c r="O1004" s="29"/>
      <c r="P1004" s="29"/>
      <c r="Q1004" s="29"/>
      <c r="R1004" s="29"/>
      <c r="S1004" s="29"/>
      <c r="T1004" s="29"/>
      <c r="U1004" s="29"/>
      <c r="V1004" s="29"/>
      <c r="W1004" s="29"/>
      <c r="X1004" s="29"/>
      <c r="Y1004" s="29"/>
      <c r="Z1004" s="29"/>
    </row>
    <row r="1005" spans="2:26" x14ac:dyDescent="0.35">
      <c r="B1005" s="29"/>
      <c r="C1005" s="29"/>
      <c r="D1005" s="29"/>
      <c r="E1005" s="29"/>
      <c r="F1005" s="29"/>
      <c r="G1005" s="29"/>
      <c r="H1005" s="29"/>
      <c r="I1005" s="29"/>
      <c r="J1005" s="29"/>
      <c r="K1005" s="29"/>
      <c r="L1005" s="29"/>
      <c r="M1005" s="29"/>
      <c r="N1005" s="29"/>
      <c r="O1005" s="29"/>
      <c r="P1005" s="29"/>
      <c r="Q1005" s="29"/>
      <c r="R1005" s="29"/>
      <c r="S1005" s="29"/>
      <c r="T1005" s="29"/>
      <c r="U1005" s="29"/>
      <c r="V1005" s="29"/>
      <c r="W1005" s="29"/>
      <c r="X1005" s="29"/>
      <c r="Y1005" s="29"/>
      <c r="Z1005" s="29"/>
    </row>
    <row r="1006" spans="2:26" x14ac:dyDescent="0.35">
      <c r="B1006" s="29"/>
      <c r="C1006" s="29"/>
      <c r="D1006" s="29"/>
      <c r="E1006" s="29"/>
      <c r="F1006" s="29"/>
      <c r="G1006" s="29"/>
      <c r="H1006" s="29"/>
      <c r="I1006" s="29"/>
      <c r="J1006" s="29"/>
      <c r="K1006" s="29"/>
      <c r="L1006" s="29"/>
      <c r="M1006" s="29"/>
      <c r="N1006" s="29"/>
      <c r="O1006" s="29"/>
      <c r="P1006" s="29"/>
      <c r="Q1006" s="29"/>
      <c r="R1006" s="29"/>
      <c r="S1006" s="29"/>
      <c r="T1006" s="29"/>
      <c r="U1006" s="29"/>
      <c r="V1006" s="29"/>
      <c r="W1006" s="29"/>
      <c r="X1006" s="29"/>
      <c r="Y1006" s="29"/>
      <c r="Z1006" s="29"/>
    </row>
    <row r="1007" spans="2:26" x14ac:dyDescent="0.35">
      <c r="B1007" s="29"/>
      <c r="C1007" s="29"/>
      <c r="D1007" s="29"/>
      <c r="E1007" s="29"/>
      <c r="F1007" s="29"/>
      <c r="G1007" s="29"/>
      <c r="H1007" s="29"/>
      <c r="I1007" s="29"/>
      <c r="J1007" s="29"/>
      <c r="K1007" s="29"/>
      <c r="L1007" s="29"/>
      <c r="M1007" s="29"/>
      <c r="N1007" s="29"/>
      <c r="O1007" s="29"/>
      <c r="P1007" s="29"/>
      <c r="Q1007" s="29"/>
      <c r="R1007" s="29"/>
      <c r="S1007" s="29"/>
      <c r="T1007" s="29"/>
      <c r="U1007" s="29"/>
      <c r="V1007" s="29"/>
      <c r="W1007" s="29"/>
      <c r="X1007" s="29"/>
      <c r="Y1007" s="29"/>
      <c r="Z1007" s="29"/>
    </row>
    <row r="1008" spans="2:26" x14ac:dyDescent="0.35">
      <c r="B1008" s="29"/>
      <c r="C1008" s="29"/>
      <c r="D1008" s="29"/>
      <c r="E1008" s="29"/>
      <c r="F1008" s="29"/>
      <c r="G1008" s="29"/>
      <c r="H1008" s="29"/>
      <c r="I1008" s="29"/>
      <c r="J1008" s="29"/>
      <c r="K1008" s="29"/>
      <c r="L1008" s="29"/>
      <c r="M1008" s="29"/>
      <c r="N1008" s="29"/>
      <c r="O1008" s="29"/>
      <c r="P1008" s="29"/>
      <c r="Q1008" s="29"/>
      <c r="R1008" s="29"/>
      <c r="S1008" s="29"/>
      <c r="T1008" s="29"/>
      <c r="U1008" s="29"/>
      <c r="V1008" s="29"/>
      <c r="W1008" s="29"/>
      <c r="X1008" s="29"/>
      <c r="Y1008" s="29"/>
      <c r="Z1008" s="29"/>
    </row>
    <row r="1009" spans="2:26" x14ac:dyDescent="0.35">
      <c r="B1009" s="29"/>
      <c r="C1009" s="29"/>
      <c r="D1009" s="29"/>
      <c r="E1009" s="29"/>
      <c r="F1009" s="29"/>
      <c r="G1009" s="29"/>
      <c r="H1009" s="29"/>
      <c r="I1009" s="29"/>
      <c r="J1009" s="29"/>
      <c r="K1009" s="29"/>
      <c r="L1009" s="29"/>
      <c r="M1009" s="29"/>
      <c r="N1009" s="29"/>
      <c r="O1009" s="29"/>
      <c r="P1009" s="29"/>
      <c r="Q1009" s="29"/>
      <c r="R1009" s="29"/>
      <c r="S1009" s="29"/>
      <c r="T1009" s="29"/>
      <c r="U1009" s="29"/>
      <c r="V1009" s="29"/>
      <c r="W1009" s="29"/>
      <c r="X1009" s="29"/>
      <c r="Y1009" s="29"/>
      <c r="Z1009" s="29"/>
    </row>
    <row r="1010" spans="2:26" x14ac:dyDescent="0.35">
      <c r="B1010" s="29"/>
      <c r="C1010" s="29"/>
      <c r="D1010" s="29"/>
      <c r="E1010" s="29"/>
      <c r="F1010" s="29"/>
      <c r="G1010" s="29"/>
      <c r="H1010" s="29"/>
      <c r="I1010" s="29"/>
      <c r="J1010" s="29"/>
      <c r="K1010" s="29"/>
      <c r="L1010" s="29"/>
      <c r="M1010" s="29"/>
      <c r="N1010" s="29"/>
      <c r="O1010" s="29"/>
      <c r="P1010" s="29"/>
      <c r="Q1010" s="29"/>
      <c r="R1010" s="29"/>
      <c r="S1010" s="29"/>
      <c r="T1010" s="29"/>
      <c r="U1010" s="29"/>
      <c r="V1010" s="29"/>
      <c r="W1010" s="29"/>
      <c r="X1010" s="29"/>
      <c r="Y1010" s="29"/>
      <c r="Z1010" s="29"/>
    </row>
    <row r="1011" spans="2:26" x14ac:dyDescent="0.35">
      <c r="B1011" s="29"/>
      <c r="C1011" s="29"/>
      <c r="D1011" s="29"/>
      <c r="E1011" s="29"/>
      <c r="F1011" s="29"/>
      <c r="G1011" s="29"/>
      <c r="H1011" s="29"/>
      <c r="I1011" s="29"/>
      <c r="J1011" s="29"/>
      <c r="K1011" s="29"/>
      <c r="L1011" s="29"/>
      <c r="M1011" s="29"/>
      <c r="N1011" s="29"/>
      <c r="O1011" s="29"/>
      <c r="P1011" s="29"/>
      <c r="Q1011" s="29"/>
      <c r="R1011" s="29"/>
      <c r="S1011" s="29"/>
      <c r="T1011" s="29"/>
      <c r="U1011" s="29"/>
      <c r="V1011" s="29"/>
      <c r="W1011" s="29"/>
      <c r="X1011" s="29"/>
      <c r="Y1011" s="29"/>
      <c r="Z1011" s="29"/>
    </row>
    <row r="1012" spans="2:26" x14ac:dyDescent="0.35">
      <c r="B1012" s="29"/>
      <c r="C1012" s="29"/>
      <c r="D1012" s="29"/>
      <c r="E1012" s="29"/>
      <c r="F1012" s="29"/>
      <c r="G1012" s="29"/>
      <c r="H1012" s="29"/>
      <c r="I1012" s="29"/>
      <c r="J1012" s="29"/>
      <c r="K1012" s="29"/>
      <c r="L1012" s="29"/>
      <c r="M1012" s="29"/>
      <c r="N1012" s="29"/>
      <c r="O1012" s="29"/>
      <c r="P1012" s="29"/>
      <c r="Q1012" s="29"/>
      <c r="R1012" s="29"/>
      <c r="S1012" s="29"/>
      <c r="T1012" s="29"/>
      <c r="U1012" s="29"/>
      <c r="V1012" s="29"/>
      <c r="W1012" s="29"/>
      <c r="X1012" s="29"/>
      <c r="Y1012" s="29"/>
      <c r="Z1012" s="29"/>
    </row>
    <row r="1013" spans="2:26" x14ac:dyDescent="0.35">
      <c r="B1013" s="29"/>
      <c r="C1013" s="29"/>
      <c r="D1013" s="29"/>
      <c r="E1013" s="29"/>
      <c r="F1013" s="29"/>
      <c r="G1013" s="29"/>
      <c r="H1013" s="29"/>
      <c r="I1013" s="29"/>
      <c r="J1013" s="29"/>
      <c r="K1013" s="29"/>
      <c r="L1013" s="29"/>
      <c r="M1013" s="29"/>
      <c r="N1013" s="29"/>
      <c r="O1013" s="29"/>
      <c r="P1013" s="29"/>
      <c r="Q1013" s="29"/>
      <c r="R1013" s="29"/>
      <c r="S1013" s="29"/>
      <c r="T1013" s="29"/>
      <c r="U1013" s="29"/>
      <c r="V1013" s="29"/>
      <c r="W1013" s="29"/>
      <c r="X1013" s="29"/>
      <c r="Y1013" s="29"/>
      <c r="Z1013" s="29"/>
    </row>
    <row r="1014" spans="2:26" x14ac:dyDescent="0.35">
      <c r="B1014" s="29"/>
      <c r="C1014" s="29"/>
      <c r="D1014" s="29"/>
      <c r="E1014" s="29"/>
      <c r="F1014" s="29"/>
      <c r="G1014" s="29"/>
      <c r="H1014" s="29"/>
      <c r="I1014" s="29"/>
      <c r="J1014" s="29"/>
      <c r="K1014" s="29"/>
      <c r="L1014" s="29"/>
      <c r="M1014" s="29"/>
      <c r="N1014" s="29"/>
      <c r="O1014" s="29"/>
      <c r="P1014" s="29"/>
      <c r="Q1014" s="29"/>
      <c r="R1014" s="29"/>
      <c r="S1014" s="29"/>
      <c r="T1014" s="29"/>
      <c r="U1014" s="29"/>
      <c r="V1014" s="29"/>
      <c r="W1014" s="29"/>
      <c r="X1014" s="29"/>
      <c r="Y1014" s="29"/>
      <c r="Z1014" s="29"/>
    </row>
    <row r="1015" spans="2:26" x14ac:dyDescent="0.35">
      <c r="B1015" s="29"/>
      <c r="C1015" s="29"/>
      <c r="D1015" s="29"/>
      <c r="E1015" s="29"/>
      <c r="F1015" s="29"/>
      <c r="G1015" s="29"/>
      <c r="H1015" s="29"/>
      <c r="I1015" s="29"/>
      <c r="J1015" s="29"/>
      <c r="K1015" s="29"/>
      <c r="L1015" s="29"/>
      <c r="M1015" s="29"/>
      <c r="N1015" s="29"/>
      <c r="O1015" s="29"/>
      <c r="P1015" s="29"/>
      <c r="Q1015" s="29"/>
      <c r="R1015" s="29"/>
      <c r="S1015" s="29"/>
      <c r="T1015" s="29"/>
      <c r="U1015" s="29"/>
      <c r="V1015" s="29"/>
      <c r="W1015" s="29"/>
      <c r="X1015" s="29"/>
      <c r="Y1015" s="29"/>
      <c r="Z1015" s="29"/>
    </row>
    <row r="1016" spans="2:26" x14ac:dyDescent="0.35">
      <c r="B1016" s="29"/>
      <c r="C1016" s="29"/>
      <c r="D1016" s="29"/>
      <c r="E1016" s="29"/>
      <c r="F1016" s="29"/>
      <c r="G1016" s="29"/>
      <c r="H1016" s="29"/>
      <c r="I1016" s="29"/>
      <c r="J1016" s="29"/>
      <c r="K1016" s="29"/>
      <c r="L1016" s="29"/>
      <c r="M1016" s="29"/>
      <c r="N1016" s="29"/>
      <c r="O1016" s="29"/>
      <c r="P1016" s="29"/>
      <c r="Q1016" s="29"/>
      <c r="R1016" s="29"/>
      <c r="S1016" s="29"/>
      <c r="T1016" s="29"/>
      <c r="U1016" s="29"/>
      <c r="V1016" s="29"/>
      <c r="W1016" s="29"/>
      <c r="X1016" s="29"/>
      <c r="Y1016" s="29"/>
      <c r="Z1016" s="29"/>
    </row>
    <row r="1017" spans="2:26" x14ac:dyDescent="0.35">
      <c r="B1017" s="29"/>
      <c r="C1017" s="29"/>
      <c r="D1017" s="29"/>
      <c r="E1017" s="29"/>
      <c r="F1017" s="29"/>
      <c r="G1017" s="29"/>
      <c r="H1017" s="29"/>
      <c r="I1017" s="29"/>
      <c r="J1017" s="29"/>
      <c r="K1017" s="29"/>
      <c r="L1017" s="29"/>
      <c r="M1017" s="29"/>
      <c r="N1017" s="29"/>
      <c r="O1017" s="29"/>
      <c r="P1017" s="29"/>
      <c r="Q1017" s="29"/>
      <c r="R1017" s="29"/>
      <c r="S1017" s="29"/>
      <c r="T1017" s="29"/>
      <c r="U1017" s="29"/>
      <c r="V1017" s="29"/>
      <c r="W1017" s="29"/>
      <c r="X1017" s="29"/>
      <c r="Y1017" s="29"/>
      <c r="Z1017" s="29"/>
    </row>
    <row r="1018" spans="2:26" x14ac:dyDescent="0.35">
      <c r="B1018" s="29"/>
      <c r="C1018" s="29"/>
      <c r="D1018" s="29"/>
      <c r="E1018" s="29"/>
      <c r="F1018" s="29"/>
      <c r="G1018" s="29"/>
      <c r="H1018" s="29"/>
      <c r="I1018" s="29"/>
      <c r="J1018" s="29"/>
      <c r="K1018" s="29"/>
      <c r="L1018" s="29"/>
      <c r="M1018" s="29"/>
      <c r="N1018" s="29"/>
      <c r="O1018" s="29"/>
      <c r="P1018" s="29"/>
      <c r="Q1018" s="29"/>
      <c r="R1018" s="29"/>
      <c r="S1018" s="29"/>
      <c r="T1018" s="29"/>
      <c r="U1018" s="29"/>
      <c r="V1018" s="29"/>
      <c r="W1018" s="29"/>
      <c r="X1018" s="29"/>
      <c r="Y1018" s="29"/>
      <c r="Z1018" s="29"/>
    </row>
    <row r="1019" spans="2:26" x14ac:dyDescent="0.35">
      <c r="B1019" s="29"/>
      <c r="C1019" s="29"/>
      <c r="D1019" s="29"/>
      <c r="E1019" s="29"/>
      <c r="F1019" s="29"/>
      <c r="G1019" s="29"/>
      <c r="H1019" s="29"/>
      <c r="I1019" s="29"/>
      <c r="J1019" s="29"/>
      <c r="K1019" s="29"/>
      <c r="L1019" s="29"/>
      <c r="M1019" s="29"/>
      <c r="N1019" s="29"/>
      <c r="O1019" s="29"/>
      <c r="P1019" s="29"/>
      <c r="Q1019" s="29"/>
      <c r="R1019" s="29"/>
      <c r="S1019" s="29"/>
      <c r="T1019" s="29"/>
      <c r="U1019" s="29"/>
      <c r="V1019" s="29"/>
      <c r="W1019" s="29"/>
      <c r="X1019" s="29"/>
      <c r="Y1019" s="29"/>
      <c r="Z1019" s="29"/>
    </row>
    <row r="1020" spans="2:26" x14ac:dyDescent="0.35">
      <c r="B1020" s="29"/>
      <c r="C1020" s="29"/>
      <c r="D1020" s="29"/>
      <c r="E1020" s="29"/>
      <c r="F1020" s="29"/>
      <c r="G1020" s="29"/>
      <c r="H1020" s="29"/>
      <c r="I1020" s="29"/>
      <c r="J1020" s="29"/>
      <c r="K1020" s="29"/>
      <c r="L1020" s="29"/>
      <c r="M1020" s="29"/>
      <c r="N1020" s="29"/>
      <c r="O1020" s="29"/>
      <c r="P1020" s="29"/>
      <c r="Q1020" s="29"/>
      <c r="R1020" s="29"/>
      <c r="S1020" s="29"/>
      <c r="T1020" s="29"/>
      <c r="U1020" s="29"/>
      <c r="V1020" s="29"/>
      <c r="W1020" s="29"/>
      <c r="X1020" s="29"/>
      <c r="Y1020" s="29"/>
      <c r="Z1020" s="29"/>
    </row>
    <row r="1021" spans="2:26" x14ac:dyDescent="0.35">
      <c r="B1021" s="29"/>
      <c r="C1021" s="29"/>
      <c r="D1021" s="29"/>
      <c r="E1021" s="29"/>
      <c r="F1021" s="29"/>
      <c r="G1021" s="29"/>
      <c r="H1021" s="29"/>
      <c r="I1021" s="29"/>
      <c r="J1021" s="29"/>
      <c r="K1021" s="29"/>
      <c r="L1021" s="29"/>
      <c r="M1021" s="29"/>
      <c r="N1021" s="29"/>
      <c r="O1021" s="29"/>
      <c r="P1021" s="29"/>
      <c r="Q1021" s="29"/>
      <c r="R1021" s="29"/>
      <c r="S1021" s="29"/>
      <c r="T1021" s="29"/>
      <c r="U1021" s="29"/>
      <c r="V1021" s="29"/>
      <c r="W1021" s="29"/>
      <c r="X1021" s="29"/>
      <c r="Y1021" s="29"/>
      <c r="Z1021" s="29"/>
    </row>
    <row r="1022" spans="2:26" x14ac:dyDescent="0.35">
      <c r="B1022" s="29"/>
      <c r="C1022" s="29"/>
      <c r="D1022" s="29"/>
      <c r="E1022" s="29"/>
      <c r="F1022" s="29"/>
      <c r="G1022" s="29"/>
      <c r="H1022" s="29"/>
      <c r="I1022" s="29"/>
      <c r="J1022" s="29"/>
      <c r="K1022" s="29"/>
      <c r="L1022" s="29"/>
      <c r="M1022" s="29"/>
      <c r="N1022" s="29"/>
      <c r="O1022" s="29"/>
      <c r="P1022" s="29"/>
      <c r="Q1022" s="29"/>
      <c r="R1022" s="29"/>
      <c r="S1022" s="29"/>
      <c r="T1022" s="29"/>
      <c r="U1022" s="29"/>
      <c r="V1022" s="29"/>
      <c r="W1022" s="29"/>
      <c r="X1022" s="29"/>
      <c r="Y1022" s="29"/>
      <c r="Z1022" s="29"/>
    </row>
    <row r="1023" spans="2:26" x14ac:dyDescent="0.35">
      <c r="B1023" s="29"/>
      <c r="C1023" s="29"/>
      <c r="D1023" s="29"/>
      <c r="E1023" s="29"/>
      <c r="F1023" s="29"/>
      <c r="G1023" s="29"/>
      <c r="H1023" s="29"/>
      <c r="I1023" s="29"/>
      <c r="J1023" s="29"/>
      <c r="K1023" s="29"/>
      <c r="L1023" s="29"/>
      <c r="M1023" s="29"/>
      <c r="N1023" s="29"/>
      <c r="O1023" s="29"/>
      <c r="P1023" s="29"/>
      <c r="Q1023" s="29"/>
      <c r="R1023" s="29"/>
      <c r="S1023" s="29"/>
      <c r="T1023" s="29"/>
      <c r="U1023" s="29"/>
      <c r="V1023" s="29"/>
      <c r="W1023" s="29"/>
      <c r="X1023" s="29"/>
      <c r="Y1023" s="29"/>
      <c r="Z1023" s="29"/>
    </row>
    <row r="1024" spans="2:26" x14ac:dyDescent="0.35">
      <c r="B1024" s="29"/>
      <c r="C1024" s="29"/>
      <c r="D1024" s="29"/>
      <c r="E1024" s="29"/>
      <c r="F1024" s="29"/>
      <c r="G1024" s="29"/>
      <c r="H1024" s="29"/>
      <c r="I1024" s="29"/>
      <c r="J1024" s="29"/>
      <c r="K1024" s="29"/>
      <c r="L1024" s="29"/>
      <c r="M1024" s="29"/>
      <c r="N1024" s="29"/>
      <c r="O1024" s="29"/>
      <c r="P1024" s="29"/>
      <c r="Q1024" s="29"/>
      <c r="R1024" s="29"/>
      <c r="S1024" s="29"/>
      <c r="T1024" s="29"/>
      <c r="U1024" s="29"/>
      <c r="V1024" s="29"/>
      <c r="W1024" s="29"/>
      <c r="X1024" s="29"/>
      <c r="Y1024" s="29"/>
      <c r="Z1024" s="29"/>
    </row>
    <row r="1025" spans="2:26" x14ac:dyDescent="0.35">
      <c r="B1025" s="29"/>
      <c r="C1025" s="29"/>
      <c r="D1025" s="29"/>
      <c r="E1025" s="29"/>
      <c r="F1025" s="29"/>
      <c r="G1025" s="29"/>
      <c r="H1025" s="29"/>
      <c r="I1025" s="29"/>
      <c r="J1025" s="29"/>
      <c r="K1025" s="29"/>
      <c r="L1025" s="29"/>
      <c r="M1025" s="29"/>
      <c r="N1025" s="29"/>
      <c r="O1025" s="29"/>
      <c r="P1025" s="29"/>
      <c r="Q1025" s="29"/>
      <c r="R1025" s="29"/>
      <c r="S1025" s="29"/>
      <c r="T1025" s="29"/>
      <c r="U1025" s="29"/>
      <c r="V1025" s="29"/>
      <c r="W1025" s="29"/>
      <c r="X1025" s="29"/>
      <c r="Y1025" s="29"/>
      <c r="Z1025" s="29"/>
    </row>
    <row r="1026" spans="2:26" x14ac:dyDescent="0.35">
      <c r="B1026" s="29"/>
      <c r="C1026" s="29"/>
      <c r="D1026" s="29"/>
      <c r="E1026" s="29"/>
      <c r="F1026" s="29"/>
      <c r="G1026" s="29"/>
      <c r="H1026" s="29"/>
      <c r="I1026" s="29"/>
      <c r="J1026" s="29"/>
      <c r="K1026" s="29"/>
      <c r="L1026" s="29"/>
      <c r="M1026" s="29"/>
      <c r="N1026" s="29"/>
      <c r="O1026" s="29"/>
      <c r="P1026" s="29"/>
      <c r="Q1026" s="29"/>
      <c r="R1026" s="29"/>
      <c r="S1026" s="29"/>
      <c r="T1026" s="29"/>
      <c r="U1026" s="29"/>
      <c r="V1026" s="29"/>
      <c r="W1026" s="29"/>
      <c r="X1026" s="29"/>
      <c r="Y1026" s="29"/>
      <c r="Z1026" s="29"/>
    </row>
    <row r="1027" spans="2:26" x14ac:dyDescent="0.35">
      <c r="B1027" s="29"/>
      <c r="C1027" s="29"/>
      <c r="D1027" s="29"/>
      <c r="E1027" s="29"/>
      <c r="F1027" s="29"/>
      <c r="G1027" s="29"/>
      <c r="H1027" s="29"/>
      <c r="I1027" s="29"/>
      <c r="J1027" s="29"/>
      <c r="K1027" s="29"/>
      <c r="L1027" s="29"/>
      <c r="M1027" s="29"/>
      <c r="N1027" s="29"/>
      <c r="O1027" s="29"/>
      <c r="P1027" s="29"/>
      <c r="Q1027" s="29"/>
      <c r="R1027" s="29"/>
      <c r="S1027" s="29"/>
      <c r="T1027" s="29"/>
      <c r="U1027" s="29"/>
      <c r="V1027" s="29"/>
      <c r="W1027" s="29"/>
      <c r="X1027" s="29"/>
      <c r="Y1027" s="29"/>
      <c r="Z1027" s="29"/>
    </row>
    <row r="1028" spans="2:26" x14ac:dyDescent="0.35">
      <c r="B1028" s="29"/>
      <c r="C1028" s="29"/>
      <c r="D1028" s="29"/>
      <c r="E1028" s="29"/>
      <c r="F1028" s="29"/>
      <c r="G1028" s="29"/>
      <c r="H1028" s="29"/>
      <c r="I1028" s="29"/>
      <c r="J1028" s="29"/>
      <c r="K1028" s="29"/>
      <c r="L1028" s="29"/>
      <c r="M1028" s="29"/>
      <c r="N1028" s="29"/>
      <c r="O1028" s="29"/>
      <c r="P1028" s="29"/>
      <c r="Q1028" s="29"/>
      <c r="R1028" s="29"/>
      <c r="S1028" s="29"/>
      <c r="T1028" s="29"/>
      <c r="U1028" s="29"/>
      <c r="V1028" s="29"/>
      <c r="W1028" s="29"/>
      <c r="X1028" s="29"/>
      <c r="Y1028" s="29"/>
      <c r="Z1028" s="29"/>
    </row>
    <row r="1029" spans="2:26" x14ac:dyDescent="0.35">
      <c r="B1029" s="29"/>
      <c r="C1029" s="29"/>
      <c r="H1029" s="29"/>
      <c r="I1029" s="29"/>
      <c r="J1029" s="29"/>
      <c r="K1029" s="29"/>
      <c r="L1029" s="29"/>
      <c r="M1029" s="29"/>
      <c r="N1029" s="29"/>
      <c r="O1029" s="29"/>
      <c r="P1029" s="29"/>
      <c r="Q1029" s="29"/>
      <c r="R1029" s="29"/>
      <c r="S1029" s="29"/>
      <c r="T1029" s="29"/>
      <c r="U1029" s="29"/>
      <c r="V1029" s="29"/>
      <c r="W1029" s="29"/>
      <c r="X1029" s="29"/>
      <c r="Y1029" s="29"/>
      <c r="Z1029" s="29"/>
    </row>
    <row r="1030" spans="2:26" x14ac:dyDescent="0.35">
      <c r="B1030" s="29"/>
      <c r="H1030" s="29"/>
      <c r="I1030" s="29"/>
    </row>
  </sheetData>
  <sheetProtection algorithmName="SHA-512" hashValue="BLPNS5xx9pPw8rqcmIIx5A82zqRkbCOcATEv/xtyGGPNhHy5i4ZrySqiEeqQYa2M/vA9v5YFjOGk5wm+iZ7X5g==" saltValue="S91aVorFCjP9/WCCuGHc6w==" spinCount="100000" sheet="1" objects="1" scenarios="1" selectLockedCells="1"/>
  <protectedRanges>
    <protectedRange sqref="R47:W47" name="Range1"/>
  </protectedRanges>
  <mergeCells count="91">
    <mergeCell ref="P31:Q33"/>
    <mergeCell ref="C64:E70"/>
    <mergeCell ref="F64:G70"/>
    <mergeCell ref="C58:E58"/>
    <mergeCell ref="E28:L28"/>
    <mergeCell ref="C56:E57"/>
    <mergeCell ref="K35:L35"/>
    <mergeCell ref="D42:L43"/>
    <mergeCell ref="K40:L40"/>
    <mergeCell ref="E30:E31"/>
    <mergeCell ref="F31:G31"/>
    <mergeCell ref="E39:E40"/>
    <mergeCell ref="C59:E63"/>
    <mergeCell ref="F59:G63"/>
    <mergeCell ref="C53:G54"/>
    <mergeCell ref="F58:G58"/>
    <mergeCell ref="K23:L23"/>
    <mergeCell ref="R28:U28"/>
    <mergeCell ref="R30:U30"/>
    <mergeCell ref="P29:Q30"/>
    <mergeCell ref="R23:U23"/>
    <mergeCell ref="F45:H47"/>
    <mergeCell ref="F40:G40"/>
    <mergeCell ref="D37:E38"/>
    <mergeCell ref="F38:G38"/>
    <mergeCell ref="F56:G57"/>
    <mergeCell ref="E45:E46"/>
    <mergeCell ref="C3:Z3"/>
    <mergeCell ref="D19:L20"/>
    <mergeCell ref="P15:Q17"/>
    <mergeCell ref="R17:U17"/>
    <mergeCell ref="F15:H15"/>
    <mergeCell ref="F17:G17"/>
    <mergeCell ref="W17:X17"/>
    <mergeCell ref="C4:Y4"/>
    <mergeCell ref="D9:L12"/>
    <mergeCell ref="R13:W14"/>
    <mergeCell ref="D13:H14"/>
    <mergeCell ref="P20:Q21"/>
    <mergeCell ref="R21:U21"/>
    <mergeCell ref="E21:L22"/>
    <mergeCell ref="P9:T10"/>
    <mergeCell ref="W11:X11"/>
    <mergeCell ref="K95:P97"/>
    <mergeCell ref="K91:P91"/>
    <mergeCell ref="K88:P90"/>
    <mergeCell ref="K38:L38"/>
    <mergeCell ref="Q94:X97"/>
    <mergeCell ref="K71:P72"/>
    <mergeCell ref="Q69:Q72"/>
    <mergeCell ref="Q75:Q78"/>
    <mergeCell ref="Q81:Q84"/>
    <mergeCell ref="Q88:Q91"/>
    <mergeCell ref="K87:N87"/>
    <mergeCell ref="K68:L68"/>
    <mergeCell ref="K57:P59"/>
    <mergeCell ref="K63:P65"/>
    <mergeCell ref="K60:O60"/>
    <mergeCell ref="K66:O66"/>
    <mergeCell ref="K94:M94"/>
    <mergeCell ref="Q24:X26"/>
    <mergeCell ref="P27:Q28"/>
    <mergeCell ref="K78:O78"/>
    <mergeCell ref="K84:O84"/>
    <mergeCell ref="K75:P77"/>
    <mergeCell ref="K81:P83"/>
    <mergeCell ref="K80:N80"/>
    <mergeCell ref="K74:L74"/>
    <mergeCell ref="K69:P70"/>
    <mergeCell ref="Q63:Q66"/>
    <mergeCell ref="K62:N62"/>
    <mergeCell ref="R33:U33"/>
    <mergeCell ref="R40:W40"/>
    <mergeCell ref="K36:L36"/>
    <mergeCell ref="K56:M56"/>
    <mergeCell ref="K14:L14"/>
    <mergeCell ref="K15:L17"/>
    <mergeCell ref="F48:K49"/>
    <mergeCell ref="E33:L34"/>
    <mergeCell ref="R35:U35"/>
    <mergeCell ref="R37:U37"/>
    <mergeCell ref="P40:Q40"/>
    <mergeCell ref="K31:L31"/>
    <mergeCell ref="P47:Q47"/>
    <mergeCell ref="F36:G36"/>
    <mergeCell ref="Q22:Q23"/>
    <mergeCell ref="F24:G24"/>
    <mergeCell ref="F26:G26"/>
    <mergeCell ref="F29:G29"/>
    <mergeCell ref="K26:L26"/>
    <mergeCell ref="K24:L24"/>
  </mergeCells>
  <conditionalFormatting sqref="F31:G31">
    <cfRule type="expression" dxfId="20" priority="3">
      <formula>$F$29="No"</formula>
    </cfRule>
  </conditionalFormatting>
  <conditionalFormatting sqref="F40:G40">
    <cfRule type="expression" dxfId="19" priority="5">
      <formula>$F$29="No"</formula>
    </cfRule>
  </conditionalFormatting>
  <conditionalFormatting sqref="K60 K66 K78 K84 K91:K92">
    <cfRule type="containsText" dxfId="18" priority="12" operator="containsText" text="reduce">
      <formula>NOT(ISERROR(SEARCH("reduce",K60)))</formula>
    </cfRule>
    <cfRule type="containsText" dxfId="17" priority="13" operator="containsText" text="increase">
      <formula>NOT(ISERROR(SEARCH("increase",K60)))</formula>
    </cfRule>
  </conditionalFormatting>
  <conditionalFormatting sqref="K71">
    <cfRule type="containsText" dxfId="16" priority="6" operator="containsText" text="savings">
      <formula>NOT(ISERROR(SEARCH("savings",K71)))</formula>
    </cfRule>
    <cfRule type="containsText" dxfId="15" priority="7" operator="containsText" text="premium">
      <formula>NOT(ISERROR(SEARCH("premium",K71)))</formula>
    </cfRule>
  </conditionalFormatting>
  <dataValidations count="3">
    <dataValidation type="whole" allowBlank="1" showInputMessage="1" showErrorMessage="1" sqref="R35:U35" xr:uid="{2229BCF6-E57E-47C9-9FE6-907B2469E7C0}">
      <formula1>1</formula1>
      <formula2>25</formula2>
    </dataValidation>
    <dataValidation type="whole" operator="greaterThan" allowBlank="1" showInputMessage="1" showErrorMessage="1" error="Enter a whole value above 0. " sqref="F17:G17 F31:G31 F24:G24 F26:G26" xr:uid="{6A60841F-8225-4796-8C60-69E75B539CD0}">
      <formula1>0</formula1>
    </dataValidation>
    <dataValidation type="decimal" operator="greaterThan" allowBlank="1" showInputMessage="1" showErrorMessage="1" error="Enter a numerical value above 0. " sqref="R23:U23 F40:G40 R17:U17 R21:U21 F36:G36 F38:G38" xr:uid="{3747EB92-BDF3-4603-B0C4-CFD36919D0A4}">
      <formula1>0</formula1>
    </dataValidation>
  </dataValidations>
  <pageMargins left="0.7" right="0.7" top="0.75" bottom="0.75" header="0.3" footer="0.3"/>
  <pageSetup paperSize="9" scale="10"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45" id="{33EFDFDB-C7B8-4AEF-A366-C69B8A6883A6}">
            <xm:f>$W$11='Drop Down Database'!$H$4</xm:f>
            <x14:dxf>
              <font>
                <color theme="0" tint="-4.9989318521683403E-2"/>
              </font>
              <fill>
                <patternFill>
                  <bgColor theme="0" tint="-4.9989318521683403E-2"/>
                </patternFill>
              </fill>
              <border>
                <left/>
                <right/>
                <top/>
                <bottom/>
                <vertical/>
                <horizontal/>
              </border>
            </x14:dxf>
          </x14:cfRule>
          <xm:sqref>P22:X48 P13:X19 P20 R20:X21</xm:sqref>
        </x14:conditionalFormatting>
        <x14:conditionalFormatting xmlns:xm="http://schemas.microsoft.com/office/excel/2006/main">
          <x14:cfRule type="expression" priority="36" id="{E742B428-634E-4212-B290-3045E0715078}">
            <xm:f>$R$13='Tool Calc Sheet'!$B$76</xm:f>
            <x14:dxf>
              <font>
                <color theme="0" tint="-4.9989318521683403E-2"/>
              </font>
              <fill>
                <patternFill>
                  <bgColor theme="0" tint="-4.9989318521683403E-2"/>
                </patternFill>
              </fill>
            </x14:dxf>
          </x14:cfRule>
          <xm:sqref>R17:U17</xm:sqref>
        </x14:conditionalFormatting>
        <x14:conditionalFormatting xmlns:xm="http://schemas.microsoft.com/office/excel/2006/main">
          <x14:cfRule type="expression" priority="40" id="{2A24EE83-BA0D-4105-B707-C39E96EC05CB}">
            <xm:f>$R$13='Tool Calc Sheet'!$B$74</xm:f>
            <x14:dxf>
              <font>
                <color theme="0" tint="-4.9989318521683403E-2"/>
              </font>
              <fill>
                <patternFill>
                  <bgColor theme="0" tint="-4.9989318521683403E-2"/>
                </patternFill>
              </fill>
            </x14:dxf>
          </x14:cfRule>
          <xm:sqref>R21:U21</xm:sqref>
        </x14:conditionalFormatting>
        <x14:conditionalFormatting xmlns:xm="http://schemas.microsoft.com/office/excel/2006/main">
          <x14:cfRule type="expression" priority="41" id="{C145C9A4-2D8F-47BC-99EC-49B8177B002E}">
            <xm:f>$R$13='Tool Calc Sheet'!$B$74</xm:f>
            <x14:dxf>
              <font>
                <color theme="0" tint="-4.9989318521683403E-2"/>
              </font>
              <fill>
                <patternFill>
                  <bgColor theme="0" tint="-4.9989318521683403E-2"/>
                </patternFill>
              </fill>
            </x14:dxf>
          </x14:cfRule>
          <x14:cfRule type="expression" priority="42" id="{00000000-000E-0000-0100-000004000000}">
            <xm:f>$R$13='Tool Calc Sheet'!$B$75</xm:f>
            <x14:dxf>
              <font>
                <color theme="0" tint="-4.9989318521683403E-2"/>
              </font>
              <fill>
                <patternFill>
                  <bgColor theme="0" tint="-4.9989318521683403E-2"/>
                </patternFill>
              </fill>
            </x14:dxf>
          </x14:cfRule>
          <xm:sqref>R23:U23</xm:sqref>
        </x14:conditionalFormatting>
        <x14:conditionalFormatting xmlns:xm="http://schemas.microsoft.com/office/excel/2006/main">
          <x14:cfRule type="expression" priority="17" id="{F8F743AD-159C-4BD7-B48C-2A67AE122679}">
            <xm:f>$R$40='Drop Down Database'!$M$6</xm:f>
            <x14:dxf>
              <font>
                <color theme="0" tint="-4.9989318521683403E-2"/>
              </font>
            </x14:dxf>
          </x14:cfRule>
          <xm:sqref>R46:W46</xm:sqref>
        </x14:conditionalFormatting>
        <x14:conditionalFormatting xmlns:xm="http://schemas.microsoft.com/office/excel/2006/main">
          <x14:cfRule type="expression" priority="16" id="{255B0877-D0BB-4AEF-AE5C-95C40276758D}">
            <xm:f>$R$40='Drop Down Database'!$M$6</xm:f>
            <x14:dxf>
              <font>
                <color theme="1"/>
              </font>
              <fill>
                <patternFill>
                  <bgColor theme="0"/>
                </patternFill>
              </fill>
            </x14:dxf>
          </x14:cfRule>
          <xm:sqref>R47:W47</xm:sqref>
        </x14:conditionalFormatting>
        <x14:conditionalFormatting xmlns:xm="http://schemas.microsoft.com/office/excel/2006/main">
          <x14:cfRule type="expression" priority="1" id="{FF7154A3-C439-438E-895A-8A27FDFB4ECA}">
            <xm:f>$R$13='Tool Calc Sheet'!$B$76</xm:f>
            <x14:dxf>
              <font>
                <color theme="0" tint="-4.9989318521683403E-2"/>
              </font>
            </x14:dxf>
          </x14:cfRule>
          <xm:sqref>W17:X17</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D1524A72-0F8F-4FF5-AC80-39C33A7CB2A3}">
          <x14:formula1>
            <xm:f>'Drop Down Database'!$M$4:$M$7</xm:f>
          </x14:formula1>
          <xm:sqref>R40:W40</xm:sqref>
        </x14:dataValidation>
        <x14:dataValidation type="list" allowBlank="1" showInputMessage="1" showErrorMessage="1" xr:uid="{4D7717B4-68F2-471F-AF9E-89E74CD1FC4A}">
          <x14:formula1>
            <xm:f>'Drop Down Database'!$K$3:$K$20</xm:f>
          </x14:formula1>
          <xm:sqref>F45</xm:sqref>
        </x14:dataValidation>
        <x14:dataValidation type="list" allowBlank="1" showInputMessage="1" showErrorMessage="1" xr:uid="{EF22305D-A9B3-426E-AB40-D0EC5F938601}">
          <x14:formula1>
            <xm:f>'Drop Down Database'!$B$3:$B$12</xm:f>
          </x14:formula1>
          <xm:sqref>F15:H15</xm:sqref>
        </x14:dataValidation>
        <x14:dataValidation type="list" allowBlank="1" showInputMessage="1" showErrorMessage="1" xr:uid="{AE6D9E10-1D74-4092-A849-FCAF568C2F5E}">
          <x14:formula1>
            <xm:f>'Tool Calc Sheet'!$B$74:$B$76</xm:f>
          </x14:formula1>
          <xm:sqref>R13</xm:sqref>
        </x14:dataValidation>
        <x14:dataValidation type="list" allowBlank="1" showInputMessage="1" showErrorMessage="1" xr:uid="{604A0301-6C8F-4B22-9929-D5226D53E4D0}">
          <x14:formula1>
            <xm:f>'Drop Down Database'!$G$3:$G$4</xm:f>
          </x14:formula1>
          <xm:sqref>F29:G29</xm:sqref>
        </x14:dataValidation>
        <x14:dataValidation type="list" allowBlank="1" showInputMessage="1" showErrorMessage="1" xr:uid="{E48C0318-27A9-4FD8-9709-51326F0B8026}">
          <x14:formula1>
            <xm:f>'Drop Down Database'!$H$3:$H$4</xm:f>
          </x14:formula1>
          <xm:sqref>W11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FC823-3FEF-42DC-90FC-90616B18A78C}">
  <sheetPr>
    <tabColor theme="2" tint="-0.249977111117893"/>
  </sheetPr>
  <dimension ref="A1"/>
  <sheetViews>
    <sheetView workbookViewId="0"/>
  </sheetViews>
  <sheetFormatPr defaultRowHeight="14.5" x14ac:dyDescent="0.35"/>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7D790-CCA6-433F-83D5-70387C73B820}">
  <sheetPr>
    <tabColor theme="9" tint="0.39997558519241921"/>
    <pageSetUpPr fitToPage="1"/>
  </sheetPr>
  <dimension ref="B1:AF247"/>
  <sheetViews>
    <sheetView topLeftCell="A8" zoomScale="115" zoomScaleNormal="115" workbookViewId="0">
      <selection activeCell="F123" sqref="F123"/>
    </sheetView>
  </sheetViews>
  <sheetFormatPr defaultRowHeight="14.5" x14ac:dyDescent="0.35"/>
  <cols>
    <col min="2" max="2" width="34.26953125" style="3" customWidth="1"/>
    <col min="3" max="3" width="22.26953125" style="7" customWidth="1"/>
    <col min="4" max="4" width="18.1796875" style="21" customWidth="1"/>
    <col min="5" max="5" width="18.1796875" style="5" customWidth="1"/>
    <col min="6" max="6" width="15" customWidth="1"/>
    <col min="7" max="7" width="13.81640625" customWidth="1"/>
    <col min="8" max="9" width="10.7265625" customWidth="1"/>
    <col min="10" max="10" width="14.453125" customWidth="1"/>
    <col min="11" max="14" width="10.54296875" bestFit="1" customWidth="1"/>
    <col min="15" max="30" width="11.54296875" bestFit="1" customWidth="1"/>
    <col min="31" max="31" width="11.453125" customWidth="1"/>
  </cols>
  <sheetData>
    <row r="1" spans="2:7" x14ac:dyDescent="0.35">
      <c r="B1" s="8" t="s">
        <v>28</v>
      </c>
    </row>
    <row r="2" spans="2:7" x14ac:dyDescent="0.35">
      <c r="D2" s="63"/>
    </row>
    <row r="3" spans="2:7" x14ac:dyDescent="0.35">
      <c r="B3" s="4" t="s">
        <v>29</v>
      </c>
      <c r="C3" s="6" t="s">
        <v>30</v>
      </c>
      <c r="E3" s="1" t="s">
        <v>31</v>
      </c>
    </row>
    <row r="4" spans="2:7" x14ac:dyDescent="0.35">
      <c r="B4"/>
      <c r="C4"/>
      <c r="D4"/>
      <c r="E4"/>
    </row>
    <row r="5" spans="2:7" x14ac:dyDescent="0.35">
      <c r="B5" s="3" t="s">
        <v>32</v>
      </c>
      <c r="C5" s="7" t="s">
        <v>33</v>
      </c>
      <c r="D5" s="213">
        <f>'Life Cycle Cost Analysis'!F15</f>
        <v>0</v>
      </c>
      <c r="E5" s="211" t="s">
        <v>34</v>
      </c>
    </row>
    <row r="6" spans="2:7" x14ac:dyDescent="0.35">
      <c r="B6" s="3" t="s">
        <v>307</v>
      </c>
      <c r="D6" s="213" t="e">
        <f>VLOOKUP($D$5,'Existing Building EUI'!$B$7:$G$16,6,FALSE)</f>
        <v>#N/A</v>
      </c>
      <c r="E6" s="211" t="s">
        <v>38</v>
      </c>
    </row>
    <row r="7" spans="2:7" x14ac:dyDescent="0.35">
      <c r="B7" s="3" t="s">
        <v>35</v>
      </c>
      <c r="C7" s="7" t="s">
        <v>171</v>
      </c>
      <c r="D7" s="213">
        <f>'Life Cycle Cost Analysis'!F17</f>
        <v>0</v>
      </c>
      <c r="E7" s="211" t="s">
        <v>34</v>
      </c>
    </row>
    <row r="8" spans="2:7" x14ac:dyDescent="0.35">
      <c r="B8" s="3" t="s">
        <v>35</v>
      </c>
      <c r="C8" s="7" t="s">
        <v>36</v>
      </c>
      <c r="D8" s="213">
        <f>D7*0.092903</f>
        <v>0</v>
      </c>
      <c r="E8" s="211"/>
    </row>
    <row r="9" spans="2:7" x14ac:dyDescent="0.35">
      <c r="B9" s="3" t="s">
        <v>37</v>
      </c>
      <c r="C9" s="7" t="s">
        <v>300</v>
      </c>
      <c r="D9" s="213" t="e">
        <f>VLOOKUP($D$5,'Existing Building EUI'!$B$7:$F$16,3,FALSE)</f>
        <v>#N/A</v>
      </c>
      <c r="E9" s="211" t="s">
        <v>38</v>
      </c>
    </row>
    <row r="10" spans="2:7" x14ac:dyDescent="0.35">
      <c r="B10" s="3" t="s">
        <v>39</v>
      </c>
      <c r="C10" s="7" t="s">
        <v>300</v>
      </c>
      <c r="D10" s="213" t="e">
        <f>VLOOKUP($D$5,'Existing Building EUI'!$B$7:$F$16,4,FALSE)</f>
        <v>#N/A</v>
      </c>
      <c r="E10" s="211" t="s">
        <v>38</v>
      </c>
    </row>
    <row r="11" spans="2:7" x14ac:dyDescent="0.35">
      <c r="B11" s="3" t="s">
        <v>40</v>
      </c>
      <c r="C11" s="7" t="s">
        <v>300</v>
      </c>
      <c r="D11" s="213" t="e">
        <f>VLOOKUP($D$5,'Existing Building EUI'!$B$7:$F$16,5,FALSE)</f>
        <v>#N/A</v>
      </c>
      <c r="E11" s="211" t="s">
        <v>38</v>
      </c>
      <c r="G11" s="21"/>
    </row>
    <row r="12" spans="2:7" x14ac:dyDescent="0.35">
      <c r="B12"/>
      <c r="D12" s="73"/>
      <c r="E12" s="212"/>
    </row>
    <row r="13" spans="2:7" x14ac:dyDescent="0.35">
      <c r="B13" s="4" t="s">
        <v>41</v>
      </c>
      <c r="D13" s="73"/>
      <c r="E13" s="212"/>
    </row>
    <row r="14" spans="2:7" x14ac:dyDescent="0.35">
      <c r="B14" s="3" t="s">
        <v>42</v>
      </c>
      <c r="C14" s="7" t="s">
        <v>9</v>
      </c>
      <c r="D14" s="213" t="e">
        <f>IF(D24="Yes",IF(ISERROR(VLOOKUP(D5,'Drop Down Database'!I3:I9,1,FALSE)),0,(D9*D8)*0.08),D9*D8)</f>
        <v>#N/A</v>
      </c>
      <c r="E14" s="211" t="s">
        <v>43</v>
      </c>
      <c r="F14" s="170"/>
    </row>
    <row r="15" spans="2:7" x14ac:dyDescent="0.35">
      <c r="B15" s="3" t="s">
        <v>42</v>
      </c>
      <c r="C15" s="7" t="s">
        <v>45</v>
      </c>
      <c r="D15" s="213" t="e">
        <f>D14/10.55</f>
        <v>#N/A</v>
      </c>
      <c r="E15" s="211"/>
      <c r="F15" s="170"/>
    </row>
    <row r="16" spans="2:7" x14ac:dyDescent="0.35">
      <c r="B16" s="3" t="s">
        <v>44</v>
      </c>
      <c r="C16" s="7" t="s">
        <v>45</v>
      </c>
      <c r="D16" s="213">
        <f>'Life Cycle Cost Analysis'!F24</f>
        <v>0</v>
      </c>
      <c r="E16" s="211" t="s">
        <v>34</v>
      </c>
      <c r="F16" s="170"/>
    </row>
    <row r="17" spans="2:6" x14ac:dyDescent="0.35">
      <c r="B17" s="3" t="s">
        <v>44</v>
      </c>
      <c r="C17" s="7" t="s">
        <v>9</v>
      </c>
      <c r="D17" s="213">
        <f>D16*10.55</f>
        <v>0</v>
      </c>
      <c r="E17" s="211" t="s">
        <v>46</v>
      </c>
      <c r="F17" s="171" t="s">
        <v>47</v>
      </c>
    </row>
    <row r="18" spans="2:6" x14ac:dyDescent="0.35">
      <c r="B18" s="3" t="s">
        <v>48</v>
      </c>
      <c r="C18" s="7" t="s">
        <v>9</v>
      </c>
      <c r="D18" s="213" t="e">
        <f>IF(D17=0,D14,D17)</f>
        <v>#N/A</v>
      </c>
      <c r="E18" s="211" t="s">
        <v>49</v>
      </c>
      <c r="F18" s="170"/>
    </row>
    <row r="19" spans="2:6" x14ac:dyDescent="0.35">
      <c r="C19"/>
      <c r="D19"/>
      <c r="E19" s="212"/>
    </row>
    <row r="20" spans="2:6" x14ac:dyDescent="0.35">
      <c r="B20" s="3" t="s">
        <v>50</v>
      </c>
      <c r="C20" s="7" t="s">
        <v>9</v>
      </c>
      <c r="D20" s="213" t="e">
        <f>D10*D8</f>
        <v>#N/A</v>
      </c>
      <c r="E20" s="211" t="s">
        <v>51</v>
      </c>
    </row>
    <row r="21" spans="2:6" x14ac:dyDescent="0.35">
      <c r="B21" s="3" t="s">
        <v>52</v>
      </c>
      <c r="C21" s="7" t="s">
        <v>9</v>
      </c>
      <c r="D21" s="213">
        <f>'Life Cycle Cost Analysis'!F26</f>
        <v>0</v>
      </c>
      <c r="E21" s="211" t="s">
        <v>34</v>
      </c>
    </row>
    <row r="22" spans="2:6" x14ac:dyDescent="0.35">
      <c r="B22" s="3" t="s">
        <v>53</v>
      </c>
      <c r="C22" s="7" t="s">
        <v>9</v>
      </c>
      <c r="D22" s="213" t="e">
        <f>IF(D21=0,D20,D21)</f>
        <v>#N/A</v>
      </c>
      <c r="E22" s="211" t="s">
        <v>49</v>
      </c>
    </row>
    <row r="23" spans="2:6" x14ac:dyDescent="0.35">
      <c r="D23" s="74"/>
      <c r="E23" s="211"/>
    </row>
    <row r="24" spans="2:6" x14ac:dyDescent="0.35">
      <c r="B24" s="3" t="s">
        <v>54</v>
      </c>
      <c r="D24" s="213">
        <f>'Life Cycle Cost Analysis'!F29</f>
        <v>0</v>
      </c>
      <c r="E24" s="211" t="s">
        <v>34</v>
      </c>
    </row>
    <row r="25" spans="2:6" x14ac:dyDescent="0.35">
      <c r="B25" s="3" t="s">
        <v>55</v>
      </c>
      <c r="C25" s="7" t="s">
        <v>9</v>
      </c>
      <c r="D25" s="213">
        <f>IF(D24="Yes",D8*D9*0.8,0)</f>
        <v>0</v>
      </c>
      <c r="E25" s="211" t="s">
        <v>341</v>
      </c>
    </row>
    <row r="26" spans="2:6" x14ac:dyDescent="0.35">
      <c r="B26" s="3" t="s">
        <v>56</v>
      </c>
      <c r="C26" s="7" t="s">
        <v>9</v>
      </c>
      <c r="D26" s="213">
        <f>'Life Cycle Cost Analysis'!F31</f>
        <v>0</v>
      </c>
      <c r="E26" s="211" t="s">
        <v>34</v>
      </c>
    </row>
    <row r="27" spans="2:6" x14ac:dyDescent="0.35">
      <c r="B27" s="3" t="s">
        <v>57</v>
      </c>
      <c r="C27" s="7" t="s">
        <v>9</v>
      </c>
      <c r="D27" s="213">
        <f>IF(D24="Yes",IF(D26=0,D25,D26),0)</f>
        <v>0</v>
      </c>
      <c r="E27" s="211" t="s">
        <v>49</v>
      </c>
    </row>
    <row r="28" spans="2:6" x14ac:dyDescent="0.35">
      <c r="B28" s="3" t="s">
        <v>338</v>
      </c>
      <c r="C28" s="7" t="s">
        <v>9</v>
      </c>
      <c r="D28" s="75" t="e">
        <f>SUM(D18,D22,D27)</f>
        <v>#N/A</v>
      </c>
      <c r="E28" s="211"/>
    </row>
    <row r="29" spans="2:6" x14ac:dyDescent="0.35">
      <c r="C29"/>
      <c r="D29"/>
      <c r="E29" s="212"/>
    </row>
    <row r="30" spans="2:6" x14ac:dyDescent="0.35">
      <c r="D30" s="151"/>
      <c r="E30" s="211"/>
    </row>
    <row r="31" spans="2:6" x14ac:dyDescent="0.35">
      <c r="B31" s="3" t="s">
        <v>58</v>
      </c>
      <c r="C31" s="7" t="s">
        <v>16</v>
      </c>
      <c r="D31" s="214">
        <f>D32/10.55</f>
        <v>1.4218009478672985E-2</v>
      </c>
      <c r="E31" s="211" t="s">
        <v>59</v>
      </c>
      <c r="F31" s="20" t="s">
        <v>60</v>
      </c>
    </row>
    <row r="32" spans="2:6" x14ac:dyDescent="0.35">
      <c r="B32" s="3" t="s">
        <v>58</v>
      </c>
      <c r="C32" s="7" t="s">
        <v>62</v>
      </c>
      <c r="D32" s="214">
        <f>0.15</f>
        <v>0.15</v>
      </c>
      <c r="E32" s="211"/>
      <c r="F32" s="20"/>
    </row>
    <row r="33" spans="2:6" x14ac:dyDescent="0.35">
      <c r="B33" s="3" t="s">
        <v>61</v>
      </c>
      <c r="C33" s="7" t="s">
        <v>62</v>
      </c>
      <c r="D33" s="214">
        <f>'Life Cycle Cost Analysis'!F36</f>
        <v>0</v>
      </c>
      <c r="E33" s="211" t="s">
        <v>34</v>
      </c>
    </row>
    <row r="34" spans="2:6" x14ac:dyDescent="0.35">
      <c r="B34" s="3" t="s">
        <v>61</v>
      </c>
      <c r="C34" s="7" t="s">
        <v>16</v>
      </c>
      <c r="D34" s="214">
        <f>D33/10.55</f>
        <v>0</v>
      </c>
      <c r="E34" s="211" t="s">
        <v>46</v>
      </c>
    </row>
    <row r="35" spans="2:6" x14ac:dyDescent="0.35">
      <c r="B35" s="3" t="s">
        <v>63</v>
      </c>
      <c r="C35" s="7" t="s">
        <v>16</v>
      </c>
      <c r="D35" s="215">
        <f>IF(D34=0,D31,D34)</f>
        <v>1.4218009478672985E-2</v>
      </c>
      <c r="E35" s="211" t="s">
        <v>49</v>
      </c>
    </row>
    <row r="36" spans="2:6" x14ac:dyDescent="0.35">
      <c r="B36" s="3" t="s">
        <v>64</v>
      </c>
      <c r="C36" s="7" t="s">
        <v>16</v>
      </c>
      <c r="D36" s="214">
        <f>(18.2+12.2+8.7)/(3*100)</f>
        <v>0.1303333333333333</v>
      </c>
      <c r="E36" s="211" t="s">
        <v>59</v>
      </c>
      <c r="F36" s="20" t="s">
        <v>65</v>
      </c>
    </row>
    <row r="37" spans="2:6" x14ac:dyDescent="0.35">
      <c r="B37" s="3" t="s">
        <v>66</v>
      </c>
      <c r="C37" s="7" t="s">
        <v>16</v>
      </c>
      <c r="D37" s="214">
        <f>'Life Cycle Cost Analysis'!F38</f>
        <v>0</v>
      </c>
      <c r="E37" s="211" t="s">
        <v>34</v>
      </c>
    </row>
    <row r="38" spans="2:6" x14ac:dyDescent="0.35">
      <c r="B38" s="3" t="s">
        <v>67</v>
      </c>
      <c r="C38" s="7" t="s">
        <v>16</v>
      </c>
      <c r="D38" s="214">
        <f>IF(D37=0,D36,D37)</f>
        <v>0.1303333333333333</v>
      </c>
      <c r="E38" s="211" t="s">
        <v>49</v>
      </c>
    </row>
    <row r="39" spans="2:6" x14ac:dyDescent="0.35">
      <c r="B39" s="3" t="s">
        <v>68</v>
      </c>
      <c r="C39" s="7" t="s">
        <v>16</v>
      </c>
      <c r="D39" s="214">
        <v>0.11</v>
      </c>
      <c r="E39" s="211" t="s">
        <v>59</v>
      </c>
      <c r="F39" t="s">
        <v>349</v>
      </c>
    </row>
    <row r="40" spans="2:6" x14ac:dyDescent="0.35">
      <c r="B40" s="3" t="s">
        <v>69</v>
      </c>
      <c r="C40" s="7" t="s">
        <v>16</v>
      </c>
      <c r="D40" s="214">
        <f>'Life Cycle Cost Analysis'!F40</f>
        <v>0</v>
      </c>
      <c r="E40" s="211"/>
    </row>
    <row r="41" spans="2:6" x14ac:dyDescent="0.35">
      <c r="B41" s="3" t="s">
        <v>70</v>
      </c>
      <c r="C41" s="7" t="s">
        <v>16</v>
      </c>
      <c r="D41" s="214">
        <f>IF(D40=0,D39,D40)</f>
        <v>0.11</v>
      </c>
      <c r="E41" s="211"/>
    </row>
    <row r="42" spans="2:6" x14ac:dyDescent="0.35">
      <c r="E42" s="211"/>
    </row>
    <row r="43" spans="2:6" x14ac:dyDescent="0.35">
      <c r="E43" s="211"/>
    </row>
    <row r="44" spans="2:6" x14ac:dyDescent="0.35">
      <c r="B44" s="3" t="s">
        <v>71</v>
      </c>
      <c r="C44" s="7" t="s">
        <v>72</v>
      </c>
      <c r="D44" s="216">
        <v>0.02</v>
      </c>
      <c r="E44" s="211" t="s">
        <v>73</v>
      </c>
    </row>
    <row r="45" spans="2:6" x14ac:dyDescent="0.35">
      <c r="B45" s="3" t="s">
        <v>74</v>
      </c>
      <c r="C45" s="7" t="s">
        <v>72</v>
      </c>
      <c r="D45" s="216">
        <f>'Life Cycle Cost Analysis'!R28</f>
        <v>0</v>
      </c>
      <c r="E45" s="211" t="s">
        <v>34</v>
      </c>
    </row>
    <row r="46" spans="2:6" x14ac:dyDescent="0.35">
      <c r="B46" s="3" t="s">
        <v>75</v>
      </c>
      <c r="C46" s="7" t="s">
        <v>72</v>
      </c>
      <c r="D46" s="216">
        <f>IF(D45=0,D44,D45)</f>
        <v>0.02</v>
      </c>
      <c r="E46" s="211" t="s">
        <v>49</v>
      </c>
    </row>
    <row r="47" spans="2:6" x14ac:dyDescent="0.35">
      <c r="B47" s="3" t="s">
        <v>76</v>
      </c>
      <c r="C47" s="7" t="s">
        <v>72</v>
      </c>
      <c r="D47" s="216">
        <v>0.02</v>
      </c>
      <c r="E47" s="211" t="s">
        <v>73</v>
      </c>
    </row>
    <row r="48" spans="2:6" x14ac:dyDescent="0.35">
      <c r="B48" s="3" t="s">
        <v>77</v>
      </c>
      <c r="C48" s="7" t="s">
        <v>72</v>
      </c>
      <c r="D48" s="216">
        <f>'Life Cycle Cost Analysis'!R30</f>
        <v>0</v>
      </c>
      <c r="E48" s="211" t="s">
        <v>34</v>
      </c>
    </row>
    <row r="49" spans="2:5" x14ac:dyDescent="0.35">
      <c r="B49" s="3" t="s">
        <v>78</v>
      </c>
      <c r="C49" s="7" t="s">
        <v>72</v>
      </c>
      <c r="D49" s="216">
        <f>IF(D48=0,D47,D48)</f>
        <v>0.02</v>
      </c>
      <c r="E49" s="211" t="s">
        <v>49</v>
      </c>
    </row>
    <row r="50" spans="2:5" x14ac:dyDescent="0.35">
      <c r="B50" s="3" t="s">
        <v>79</v>
      </c>
      <c r="C50" s="7" t="s">
        <v>72</v>
      </c>
      <c r="D50" s="216">
        <v>0.02</v>
      </c>
      <c r="E50" s="211" t="s">
        <v>73</v>
      </c>
    </row>
    <row r="51" spans="2:5" x14ac:dyDescent="0.35">
      <c r="B51" s="3" t="s">
        <v>80</v>
      </c>
      <c r="C51" s="7" t="s">
        <v>72</v>
      </c>
      <c r="D51" s="216">
        <f>'Life Cycle Cost Analysis'!R33</f>
        <v>0</v>
      </c>
      <c r="E51" s="211" t="s">
        <v>34</v>
      </c>
    </row>
    <row r="52" spans="2:5" x14ac:dyDescent="0.35">
      <c r="B52" s="3" t="s">
        <v>81</v>
      </c>
      <c r="C52" s="7" t="s">
        <v>72</v>
      </c>
      <c r="D52" s="216">
        <f>IF(D51=0,D50,D51)</f>
        <v>0.02</v>
      </c>
      <c r="E52" s="211" t="s">
        <v>49</v>
      </c>
    </row>
    <row r="53" spans="2:5" x14ac:dyDescent="0.35">
      <c r="B53" s="3" t="s">
        <v>82</v>
      </c>
      <c r="C53" s="7" t="s">
        <v>83</v>
      </c>
      <c r="D53" s="213">
        <v>25</v>
      </c>
      <c r="E53" s="211" t="s">
        <v>73</v>
      </c>
    </row>
    <row r="54" spans="2:5" x14ac:dyDescent="0.35">
      <c r="B54" s="3" t="s">
        <v>84</v>
      </c>
      <c r="C54" s="7" t="s">
        <v>83</v>
      </c>
      <c r="D54" s="213">
        <f>'Life Cycle Cost Analysis'!R35</f>
        <v>0</v>
      </c>
      <c r="E54" s="211" t="s">
        <v>34</v>
      </c>
    </row>
    <row r="55" spans="2:5" x14ac:dyDescent="0.35">
      <c r="B55" s="3" t="s">
        <v>210</v>
      </c>
      <c r="C55" s="7" t="s">
        <v>83</v>
      </c>
      <c r="D55" s="213">
        <f>IF(D54=0,D53,D54)</f>
        <v>25</v>
      </c>
      <c r="E55" s="211" t="s">
        <v>49</v>
      </c>
    </row>
    <row r="56" spans="2:5" x14ac:dyDescent="0.35">
      <c r="B56" s="3" t="s">
        <v>85</v>
      </c>
      <c r="C56" s="7" t="s">
        <v>72</v>
      </c>
      <c r="D56" s="216">
        <v>0.04</v>
      </c>
      <c r="E56" s="211" t="s">
        <v>73</v>
      </c>
    </row>
    <row r="57" spans="2:5" x14ac:dyDescent="0.35">
      <c r="B57" s="3" t="s">
        <v>86</v>
      </c>
      <c r="C57" s="7" t="s">
        <v>72</v>
      </c>
      <c r="D57" s="216">
        <f>'Life Cycle Cost Analysis'!R37</f>
        <v>0</v>
      </c>
      <c r="E57" s="211" t="s">
        <v>34</v>
      </c>
    </row>
    <row r="58" spans="2:5" x14ac:dyDescent="0.35">
      <c r="B58" s="3" t="s">
        <v>371</v>
      </c>
      <c r="C58" s="7" t="s">
        <v>72</v>
      </c>
      <c r="D58" s="216">
        <f>IF(D57=0,D56,D57)</f>
        <v>0.04</v>
      </c>
      <c r="E58" s="211" t="s">
        <v>49</v>
      </c>
    </row>
    <row r="59" spans="2:5" x14ac:dyDescent="0.35">
      <c r="E59" s="211"/>
    </row>
    <row r="60" spans="2:5" x14ac:dyDescent="0.35">
      <c r="B60" s="3" t="s">
        <v>166</v>
      </c>
      <c r="C60" s="7" t="s">
        <v>303</v>
      </c>
      <c r="D60" s="213" t="str">
        <f>'Life Cycle Cost Analysis'!R40</f>
        <v>No Carbon Tax</v>
      </c>
      <c r="E60" s="211" t="s">
        <v>34</v>
      </c>
    </row>
    <row r="61" spans="2:5" x14ac:dyDescent="0.35">
      <c r="E61" s="211"/>
    </row>
    <row r="62" spans="2:5" x14ac:dyDescent="0.35">
      <c r="B62" s="4" t="s">
        <v>87</v>
      </c>
      <c r="E62" s="211"/>
    </row>
    <row r="63" spans="2:5" x14ac:dyDescent="0.35">
      <c r="B63" s="3" t="s">
        <v>88</v>
      </c>
      <c r="C63" s="7" t="s">
        <v>33</v>
      </c>
      <c r="D63" s="217">
        <f>'Life Cycle Cost Analysis'!F45</f>
        <v>0</v>
      </c>
      <c r="E63" s="211" t="s">
        <v>34</v>
      </c>
    </row>
    <row r="64" spans="2:5" x14ac:dyDescent="0.35">
      <c r="D64" s="7"/>
      <c r="E64" s="211"/>
    </row>
    <row r="65" spans="2:7" x14ac:dyDescent="0.35">
      <c r="B65" s="3" t="s">
        <v>89</v>
      </c>
      <c r="C65" s="7" t="s">
        <v>4</v>
      </c>
      <c r="D65" s="217">
        <f>'Life Cycle Cost Analysis'!R17</f>
        <v>0</v>
      </c>
      <c r="E65" s="211" t="s">
        <v>34</v>
      </c>
    </row>
    <row r="66" spans="2:7" x14ac:dyDescent="0.35">
      <c r="B66" s="3" t="s">
        <v>90</v>
      </c>
      <c r="C66" s="7" t="s">
        <v>4</v>
      </c>
      <c r="D66" s="87" t="e">
        <f>VLOOKUP($D$63&amp;$D$5,'Retrofit Data'!$B$7:$BB$294,'Retrofit Data'!AB4,FALSE)*D7</f>
        <v>#N/A</v>
      </c>
      <c r="E66" s="211"/>
      <c r="F66" s="160"/>
      <c r="G66" s="161"/>
    </row>
    <row r="67" spans="2:7" x14ac:dyDescent="0.35">
      <c r="B67" s="3" t="s">
        <v>91</v>
      </c>
      <c r="C67" s="7" t="s">
        <v>4</v>
      </c>
      <c r="D67" s="87" t="e">
        <f>VLOOKUP($D$63&amp;$D$5,'Retrofit Data'!$B$7:$BB$294,'Retrofit Data'!AC4,FALSE)*D7</f>
        <v>#N/A</v>
      </c>
      <c r="E67" s="211"/>
    </row>
    <row r="68" spans="2:7" x14ac:dyDescent="0.35">
      <c r="D68"/>
      <c r="E68" s="211"/>
    </row>
    <row r="69" spans="2:7" x14ac:dyDescent="0.35">
      <c r="D69"/>
      <c r="E69" s="211"/>
    </row>
    <row r="70" spans="2:7" x14ac:dyDescent="0.35">
      <c r="B70" s="3" t="s">
        <v>92</v>
      </c>
      <c r="C70" s="7" t="s">
        <v>4</v>
      </c>
      <c r="D70" s="217">
        <f>'Life Cycle Cost Analysis'!R21</f>
        <v>0</v>
      </c>
      <c r="E70" s="211" t="s">
        <v>34</v>
      </c>
    </row>
    <row r="71" spans="2:7" x14ac:dyDescent="0.35">
      <c r="B71" s="3" t="s">
        <v>93</v>
      </c>
      <c r="C71" s="7" t="s">
        <v>4</v>
      </c>
      <c r="D71" s="217">
        <f>'Life Cycle Cost Analysis'!R23</f>
        <v>0</v>
      </c>
      <c r="E71" s="211" t="s">
        <v>34</v>
      </c>
    </row>
    <row r="72" spans="2:7" x14ac:dyDescent="0.35">
      <c r="D72" s="120"/>
      <c r="E72" s="12"/>
    </row>
    <row r="73" spans="2:7" x14ac:dyDescent="0.35">
      <c r="B73" s="4" t="s">
        <v>211</v>
      </c>
      <c r="D73" s="121" t="s">
        <v>212</v>
      </c>
      <c r="E73" s="121" t="s">
        <v>213</v>
      </c>
      <c r="F73" s="1" t="s">
        <v>214</v>
      </c>
      <c r="G73" s="211" t="s">
        <v>351</v>
      </c>
    </row>
    <row r="74" spans="2:7" x14ac:dyDescent="0.35">
      <c r="B74" s="3" t="s">
        <v>346</v>
      </c>
      <c r="C74" s="7" t="s">
        <v>4</v>
      </c>
      <c r="D74" s="217">
        <v>0</v>
      </c>
      <c r="E74" s="217" t="e">
        <f>IF(D65=0,D66,D65)</f>
        <v>#N/A</v>
      </c>
      <c r="F74" s="217" t="e">
        <f>IF(D65=0,D67,D65)</f>
        <v>#N/A</v>
      </c>
    </row>
    <row r="75" spans="2:7" x14ac:dyDescent="0.35">
      <c r="B75" s="3" t="s">
        <v>347</v>
      </c>
      <c r="C75" s="7" t="s">
        <v>4</v>
      </c>
      <c r="D75" s="217">
        <f>IF(D70=0,0,D70)</f>
        <v>0</v>
      </c>
      <c r="E75" s="217">
        <f>IF(D70=0,0,D75+E74)</f>
        <v>0</v>
      </c>
      <c r="F75" s="217">
        <f>IF(D70=0,0,D75+F74)</f>
        <v>0</v>
      </c>
    </row>
    <row r="76" spans="2:7" x14ac:dyDescent="0.35">
      <c r="B76" s="3" t="s">
        <v>348</v>
      </c>
      <c r="C76" s="7" t="s">
        <v>4</v>
      </c>
      <c r="D76" s="217">
        <f>IF(D70=0,0,D70)</f>
        <v>0</v>
      </c>
      <c r="E76" s="217">
        <f>IF(D70=0,0,D71)</f>
        <v>0</v>
      </c>
      <c r="F76" s="217">
        <f>IF(D70=0,0,D71)</f>
        <v>0</v>
      </c>
    </row>
    <row r="77" spans="2:7" x14ac:dyDescent="0.35">
      <c r="D77" s="120"/>
      <c r="E77" s="12"/>
    </row>
    <row r="78" spans="2:7" x14ac:dyDescent="0.35">
      <c r="B78" s="3" t="s">
        <v>215</v>
      </c>
      <c r="C78" s="7" t="s">
        <v>303</v>
      </c>
      <c r="D78" s="217" t="str">
        <f>'Life Cycle Cost Analysis'!R13</f>
        <v>1 - User Defined or Default Retrofit Premium Costs</v>
      </c>
      <c r="E78" s="219"/>
      <c r="F78" s="218"/>
    </row>
    <row r="79" spans="2:7" x14ac:dyDescent="0.35">
      <c r="D79" s="121" t="s">
        <v>212</v>
      </c>
      <c r="E79" s="121" t="s">
        <v>213</v>
      </c>
      <c r="F79" s="1" t="s">
        <v>214</v>
      </c>
    </row>
    <row r="80" spans="2:7" x14ac:dyDescent="0.35">
      <c r="B80" s="3" t="s">
        <v>216</v>
      </c>
      <c r="C80" s="7" t="s">
        <v>4</v>
      </c>
      <c r="D80" s="217">
        <f>VLOOKUP($D$78,$B$74:$F$76,3,FALSE)</f>
        <v>0</v>
      </c>
      <c r="E80" s="217" t="e">
        <f>VLOOKUP($D$78,B74:F76,4,FALSE)</f>
        <v>#N/A</v>
      </c>
      <c r="F80" s="217" t="e">
        <f>VLOOKUP($D$78,B74:F76,5,FALSE)</f>
        <v>#N/A</v>
      </c>
    </row>
    <row r="81" spans="2:8" x14ac:dyDescent="0.35">
      <c r="D81"/>
      <c r="E81" s="12"/>
    </row>
    <row r="82" spans="2:8" x14ac:dyDescent="0.35">
      <c r="B82" s="3" t="s">
        <v>244</v>
      </c>
      <c r="C82" s="7" t="s">
        <v>72</v>
      </c>
      <c r="D82" s="220" t="e">
        <f>VLOOKUP($D$63&amp;$D$5,'Retrofit Data'!$B$7:$AC$116,'Retrofit Data'!E4,FALSE)</f>
        <v>#N/A</v>
      </c>
      <c r="E82" s="211" t="s">
        <v>350</v>
      </c>
    </row>
    <row r="83" spans="2:8" x14ac:dyDescent="0.35">
      <c r="B83" s="3" t="s">
        <v>245</v>
      </c>
      <c r="C83" s="7" t="s">
        <v>72</v>
      </c>
      <c r="D83" s="220" t="e">
        <f>VLOOKUP($D$63&amp;$D$5,'Retrofit Data'!$B$7:$AC$116,'Retrofit Data'!F4,FALSE)</f>
        <v>#N/A</v>
      </c>
      <c r="E83" s="211" t="s">
        <v>350</v>
      </c>
    </row>
    <row r="84" spans="2:8" x14ac:dyDescent="0.35">
      <c r="B84" s="3" t="s">
        <v>279</v>
      </c>
      <c r="C84" s="7" t="s">
        <v>72</v>
      </c>
      <c r="D84" s="220" t="e">
        <f>IF(D24="yes",
VLOOKUP($D$63&amp;$D$5,'Retrofit Data - DES'!$B$7:$AC$115,'Retrofit Data - DES'!L4,FALSE),
VLOOKUP($D$63&amp;$D$5,'Retrofit Data'!$B$7:$AC$116,'Retrofit Data'!L4,FALSE))</f>
        <v>#N/A</v>
      </c>
      <c r="E84" s="211" t="s">
        <v>350</v>
      </c>
      <c r="F84" s="161"/>
    </row>
    <row r="85" spans="2:8" x14ac:dyDescent="0.35">
      <c r="B85" s="3" t="s">
        <v>277</v>
      </c>
      <c r="C85" s="7" t="s">
        <v>72</v>
      </c>
      <c r="D85" s="220" t="e">
        <f>IF(D24="Yes",
VLOOKUP($D$63&amp;$D$5,'Retrofit Data - DES'!$B$7:$AC$115,'Retrofit Data - DES'!M4,FALSE),
VLOOKUP($D$63&amp;$D$5,'Retrofit Data'!$B$7:$AC$116,'Retrofit Data'!M4,FALSE))</f>
        <v>#N/A</v>
      </c>
      <c r="E85" s="211" t="s">
        <v>350</v>
      </c>
      <c r="F85" s="161"/>
    </row>
    <row r="86" spans="2:8" x14ac:dyDescent="0.35">
      <c r="B86" s="3" t="s">
        <v>280</v>
      </c>
      <c r="C86" s="7" t="s">
        <v>72</v>
      </c>
      <c r="D86" s="220" t="e">
        <f>IF(D24="Yes",
VLOOKUP($D$63&amp;$D$5,'Retrofit Data - DES'!$B$7:$AC$115,'Retrofit Data - DES'!N4,FALSE),
VLOOKUP($D$63&amp;$D$5,'Retrofit Data'!$B$7:$AC$116,'Retrofit Data'!N4,FALSE))</f>
        <v>#N/A</v>
      </c>
      <c r="E86" s="211" t="s">
        <v>350</v>
      </c>
    </row>
    <row r="87" spans="2:8" x14ac:dyDescent="0.35">
      <c r="B87" s="3" t="s">
        <v>278</v>
      </c>
      <c r="C87" s="7" t="s">
        <v>72</v>
      </c>
      <c r="D87" s="220" t="e">
        <f>IF(D24="Yes",
VLOOKUP($D$63&amp;$D$5,'Retrofit Data - DES'!$B$7:$AC$115,'Retrofit Data - DES'!O4,FALSE),
VLOOKUP($D$63&amp;$D$5,'Retrofit Data'!$B$7:$AC$116,'Retrofit Data'!O4,FALSE))</f>
        <v>#N/A</v>
      </c>
      <c r="E87" s="211" t="s">
        <v>350</v>
      </c>
    </row>
    <row r="88" spans="2:8" x14ac:dyDescent="0.35">
      <c r="B88" s="3" t="s">
        <v>285</v>
      </c>
      <c r="C88" s="7" t="s">
        <v>72</v>
      </c>
      <c r="D88" s="220" t="e">
        <f>IF(D24="Yes",
VLOOKUP($D$63&amp;$D$5,'Retrofit Data - DES'!$B$7:$AC$115,'Retrofit Data - DES'!P4,FALSE),
VLOOKUP($D$63&amp;$D$5,'Retrofit Data'!$B$7:$AC$116,'Retrofit Data'!P4,FALSE)*-1)</f>
        <v>#N/A</v>
      </c>
      <c r="E88" s="211" t="s">
        <v>350</v>
      </c>
    </row>
    <row r="89" spans="2:8" x14ac:dyDescent="0.35">
      <c r="B89" s="3" t="s">
        <v>286</v>
      </c>
      <c r="C89" s="7" t="s">
        <v>72</v>
      </c>
      <c r="D89" s="220" t="e">
        <f>IF(D24="Yes",
VLOOKUP($D$63&amp;$D$5,'Retrofit Data - DES'!$B$7:$AC$115,'Retrofit Data - DES'!Q4,FALSE),
VLOOKUP($D$63&amp;$D$5,'Retrofit Data'!$B$7:$AC$116,'Retrofit Data'!Q4,FALSE)*-1)</f>
        <v>#N/A</v>
      </c>
      <c r="E89" s="211" t="s">
        <v>350</v>
      </c>
    </row>
    <row r="90" spans="2:8" x14ac:dyDescent="0.35">
      <c r="B90" s="3" t="s">
        <v>281</v>
      </c>
      <c r="C90" s="7" t="s">
        <v>72</v>
      </c>
      <c r="D90" s="220" t="e">
        <f>IF(D24="yes",
VLOOKUP($D$63&amp;$D$5,'Retrofit Data - DES'!$B$7:$AC$115,'Retrofit Data - DES'!R4,FALSE),
VLOOKUP($D$63&amp;$D$5,'Retrofit Data'!$B$7:$AC$116,'Retrofit Data'!R4,FALSE))</f>
        <v>#N/A</v>
      </c>
      <c r="E90" s="211" t="s">
        <v>350</v>
      </c>
      <c r="F90" s="122"/>
      <c r="G90" s="122"/>
      <c r="H90" s="122"/>
    </row>
    <row r="91" spans="2:8" x14ac:dyDescent="0.35">
      <c r="B91" s="3" t="s">
        <v>282</v>
      </c>
      <c r="C91" s="7" t="s">
        <v>72</v>
      </c>
      <c r="D91" s="220" t="e">
        <f>IF(D24="Yes",
VLOOKUP($D$63&amp;$D$5,'Retrofit Data - DES'!$B$7:$AC$115,'Retrofit Data - DES'!S4,FALSE),
VLOOKUP($D$63&amp;$D$5,'Retrofit Data'!$B$7:$AC$116,'Retrofit Data'!S4,FALSE))</f>
        <v>#N/A</v>
      </c>
      <c r="E91" s="211" t="s">
        <v>350</v>
      </c>
      <c r="F91" s="122"/>
      <c r="G91" s="122"/>
      <c r="H91" s="122"/>
    </row>
    <row r="92" spans="2:8" x14ac:dyDescent="0.35">
      <c r="D92" s="12"/>
      <c r="E92" s="12"/>
    </row>
    <row r="93" spans="2:8" x14ac:dyDescent="0.35">
      <c r="B93" s="3" t="s">
        <v>210</v>
      </c>
      <c r="C93" s="7" t="s">
        <v>83</v>
      </c>
      <c r="D93" s="75">
        <f>D55</f>
        <v>25</v>
      </c>
      <c r="E93" s="12"/>
    </row>
    <row r="94" spans="2:8" x14ac:dyDescent="0.35">
      <c r="B94" s="3" t="s">
        <v>236</v>
      </c>
      <c r="C94" s="7" t="s">
        <v>304</v>
      </c>
      <c r="D94" s="75" t="str">
        <f>(ADDRESS(1,6+D93,4))</f>
        <v>AE1</v>
      </c>
    </row>
    <row r="95" spans="2:8" x14ac:dyDescent="0.35">
      <c r="C95" s="7" t="s">
        <v>305</v>
      </c>
      <c r="D95" s="75" t="str">
        <f>LEFT(D94,LEN(D94)-1)</f>
        <v>AE</v>
      </c>
    </row>
    <row r="96" spans="2:8" x14ac:dyDescent="0.35">
      <c r="D96" s="169"/>
    </row>
    <row r="97" spans="2:31" ht="21" x14ac:dyDescent="0.5">
      <c r="B97" s="68" t="s">
        <v>94</v>
      </c>
      <c r="C97" s="69"/>
      <c r="D97" s="70"/>
      <c r="E97" s="71"/>
      <c r="F97" s="72"/>
      <c r="G97" s="72"/>
      <c r="H97" s="72"/>
      <c r="I97" s="72"/>
      <c r="J97" s="72"/>
      <c r="K97" s="72"/>
      <c r="L97" s="72"/>
      <c r="M97" s="72"/>
      <c r="N97" s="72"/>
      <c r="O97" s="72"/>
      <c r="P97" s="72"/>
      <c r="Q97" s="72"/>
      <c r="R97" s="72"/>
      <c r="S97" s="72"/>
      <c r="T97" s="72"/>
      <c r="U97" s="72"/>
      <c r="V97" s="72"/>
      <c r="W97" s="72"/>
      <c r="X97" s="72"/>
      <c r="Y97" s="72"/>
      <c r="Z97" s="72"/>
      <c r="AA97" s="72"/>
      <c r="AB97" s="72"/>
      <c r="AC97" s="72"/>
      <c r="AD97" s="72"/>
    </row>
    <row r="98" spans="2:31" x14ac:dyDescent="0.35">
      <c r="B98"/>
      <c r="C98"/>
      <c r="D98"/>
      <c r="E98"/>
    </row>
    <row r="99" spans="2:31" x14ac:dyDescent="0.35">
      <c r="D99" s="82"/>
      <c r="E99" s="82"/>
      <c r="F99" s="5"/>
    </row>
    <row r="100" spans="2:31" x14ac:dyDescent="0.35">
      <c r="B100" s="76" t="s">
        <v>95</v>
      </c>
      <c r="D100" s="76"/>
      <c r="E100" s="76"/>
      <c r="F100" s="64">
        <v>2025</v>
      </c>
      <c r="G100" s="64">
        <v>2026</v>
      </c>
      <c r="H100" s="64">
        <v>2027</v>
      </c>
      <c r="I100" s="64">
        <v>2028</v>
      </c>
      <c r="J100" s="64">
        <v>2029</v>
      </c>
      <c r="K100" s="64">
        <v>2030</v>
      </c>
      <c r="L100" s="64">
        <v>2031</v>
      </c>
      <c r="M100" s="64">
        <v>2032</v>
      </c>
      <c r="N100" s="64">
        <v>2033</v>
      </c>
      <c r="O100" s="64">
        <v>2034</v>
      </c>
      <c r="P100" s="64">
        <v>2035</v>
      </c>
      <c r="Q100" s="64">
        <v>2036</v>
      </c>
      <c r="R100" s="64">
        <v>2037</v>
      </c>
      <c r="S100" s="64">
        <v>2038</v>
      </c>
      <c r="T100" s="64">
        <v>2039</v>
      </c>
      <c r="U100" s="64">
        <v>2040</v>
      </c>
      <c r="V100" s="64">
        <v>2041</v>
      </c>
      <c r="W100" s="64">
        <v>2042</v>
      </c>
      <c r="X100" s="64">
        <v>2043</v>
      </c>
      <c r="Y100" s="64">
        <v>2044</v>
      </c>
      <c r="Z100" s="64">
        <v>2045</v>
      </c>
      <c r="AA100" s="64">
        <v>2046</v>
      </c>
      <c r="AB100" s="64">
        <v>2047</v>
      </c>
      <c r="AC100" s="64">
        <v>2048</v>
      </c>
      <c r="AD100" s="64">
        <v>2049</v>
      </c>
      <c r="AE100" s="64">
        <v>2050</v>
      </c>
    </row>
    <row r="101" spans="2:31" x14ac:dyDescent="0.35">
      <c r="B101" s="76" t="s">
        <v>96</v>
      </c>
      <c r="D101" s="76"/>
      <c r="E101" s="76"/>
      <c r="F101">
        <v>0</v>
      </c>
      <c r="G101">
        <v>1</v>
      </c>
      <c r="H101">
        <v>2</v>
      </c>
      <c r="I101">
        <v>3</v>
      </c>
      <c r="J101">
        <v>4</v>
      </c>
      <c r="K101">
        <v>5</v>
      </c>
      <c r="L101">
        <v>6</v>
      </c>
      <c r="M101">
        <v>7</v>
      </c>
      <c r="N101">
        <v>8</v>
      </c>
      <c r="O101">
        <v>9</v>
      </c>
      <c r="P101">
        <v>10</v>
      </c>
      <c r="Q101">
        <v>11</v>
      </c>
      <c r="R101">
        <v>12</v>
      </c>
      <c r="S101">
        <v>13</v>
      </c>
      <c r="T101">
        <v>14</v>
      </c>
      <c r="U101">
        <v>15</v>
      </c>
      <c r="V101">
        <v>16</v>
      </c>
      <c r="W101">
        <v>17</v>
      </c>
      <c r="X101">
        <v>18</v>
      </c>
      <c r="Y101">
        <v>19</v>
      </c>
      <c r="Z101">
        <v>20</v>
      </c>
      <c r="AA101">
        <v>21</v>
      </c>
      <c r="AB101">
        <v>22</v>
      </c>
      <c r="AC101">
        <v>23</v>
      </c>
      <c r="AD101">
        <v>24</v>
      </c>
      <c r="AE101">
        <v>25</v>
      </c>
    </row>
    <row r="102" spans="2:31" x14ac:dyDescent="0.35">
      <c r="B102" s="66" t="s">
        <v>97</v>
      </c>
      <c r="C102" s="77"/>
      <c r="D102" s="78"/>
      <c r="E102" s="78"/>
      <c r="F102" s="67">
        <v>1</v>
      </c>
      <c r="G102" s="67">
        <v>1</v>
      </c>
      <c r="H102" s="67">
        <v>1</v>
      </c>
      <c r="I102" s="67">
        <v>1</v>
      </c>
      <c r="J102" s="67">
        <v>1</v>
      </c>
      <c r="K102" s="67">
        <v>1</v>
      </c>
      <c r="L102" s="67">
        <v>1</v>
      </c>
      <c r="M102" s="67">
        <v>1</v>
      </c>
      <c r="N102" s="67">
        <v>1</v>
      </c>
      <c r="O102" s="67">
        <v>1</v>
      </c>
      <c r="P102" s="67">
        <v>1</v>
      </c>
      <c r="Q102" s="67">
        <v>1</v>
      </c>
      <c r="R102" s="67">
        <v>1</v>
      </c>
      <c r="S102" s="67">
        <v>1</v>
      </c>
      <c r="T102" s="67">
        <v>1</v>
      </c>
      <c r="U102" s="67">
        <v>1</v>
      </c>
      <c r="V102" s="67">
        <v>1</v>
      </c>
      <c r="W102" s="67">
        <v>1</v>
      </c>
      <c r="X102" s="67">
        <v>1</v>
      </c>
      <c r="Y102" s="67">
        <v>1</v>
      </c>
      <c r="Z102" s="67">
        <v>1</v>
      </c>
      <c r="AA102" s="67">
        <v>1</v>
      </c>
      <c r="AB102" s="67">
        <v>1</v>
      </c>
      <c r="AC102" s="67">
        <v>1</v>
      </c>
      <c r="AD102" s="67">
        <v>1</v>
      </c>
      <c r="AE102" s="67">
        <v>1</v>
      </c>
    </row>
    <row r="103" spans="2:31" x14ac:dyDescent="0.35">
      <c r="B103"/>
    </row>
    <row r="104" spans="2:31" x14ac:dyDescent="0.35">
      <c r="B104" s="1" t="s">
        <v>98</v>
      </c>
      <c r="C104" s="6" t="s">
        <v>30</v>
      </c>
      <c r="D104" s="1" t="s">
        <v>372</v>
      </c>
      <c r="E104" s="1" t="s">
        <v>240</v>
      </c>
    </row>
    <row r="105" spans="2:31" x14ac:dyDescent="0.35">
      <c r="B105" t="s">
        <v>99</v>
      </c>
      <c r="C105" s="7" t="s">
        <v>100</v>
      </c>
      <c r="D105" s="75" t="e">
        <f ca="1">SUM(INDIRECT(CONCATENATE("F",ROW(F105),":",$D$95,ROW(F105))))</f>
        <v>#N/A</v>
      </c>
      <c r="E105" s="75" t="e" cm="1">
        <f t="array" aca="1" ref="E105" ca="1">INDIRECT(CONCATENATE($D$95,ROW(F105)))</f>
        <v>#N/A</v>
      </c>
      <c r="F105" s="79" t="e" cm="1">
        <f t="array" ref="F105:AE105">D22*$F$102:$AE$102</f>
        <v>#N/A</v>
      </c>
      <c r="G105" s="75" t="e">
        <v>#N/A</v>
      </c>
      <c r="H105" s="75" t="e">
        <v>#N/A</v>
      </c>
      <c r="I105" s="75" t="e">
        <v>#N/A</v>
      </c>
      <c r="J105" s="75" t="e">
        <v>#N/A</v>
      </c>
      <c r="K105" s="75" t="e">
        <v>#N/A</v>
      </c>
      <c r="L105" s="75" t="e">
        <v>#N/A</v>
      </c>
      <c r="M105" s="75" t="e">
        <v>#N/A</v>
      </c>
      <c r="N105" s="75" t="e">
        <v>#N/A</v>
      </c>
      <c r="O105" s="75" t="e">
        <v>#N/A</v>
      </c>
      <c r="P105" s="75" t="e">
        <v>#N/A</v>
      </c>
      <c r="Q105" s="75" t="e">
        <v>#N/A</v>
      </c>
      <c r="R105" s="75" t="e">
        <v>#N/A</v>
      </c>
      <c r="S105" s="75" t="e">
        <v>#N/A</v>
      </c>
      <c r="T105" s="75" t="e">
        <v>#N/A</v>
      </c>
      <c r="U105" s="75" t="e">
        <v>#N/A</v>
      </c>
      <c r="V105" s="75" t="e">
        <v>#N/A</v>
      </c>
      <c r="W105" s="75" t="e">
        <v>#N/A</v>
      </c>
      <c r="X105" s="75" t="e">
        <v>#N/A</v>
      </c>
      <c r="Y105" s="75" t="e">
        <v>#N/A</v>
      </c>
      <c r="Z105" s="75" t="e">
        <v>#N/A</v>
      </c>
      <c r="AA105" s="75" t="e">
        <v>#N/A</v>
      </c>
      <c r="AB105" s="75" t="e">
        <v>#N/A</v>
      </c>
      <c r="AC105" s="75" t="e">
        <v>#N/A</v>
      </c>
      <c r="AD105" s="75" t="e">
        <v>#N/A</v>
      </c>
      <c r="AE105" s="75" t="e">
        <v>#N/A</v>
      </c>
    </row>
    <row r="106" spans="2:31" x14ac:dyDescent="0.35">
      <c r="B106" t="s">
        <v>101</v>
      </c>
      <c r="C106" s="7" t="s">
        <v>100</v>
      </c>
      <c r="D106" s="75" t="e">
        <f ca="1">SUM(INDIRECT(CONCATENATE("F",ROW(F106),":",$D$95,ROW(F106))))</f>
        <v>#N/A</v>
      </c>
      <c r="E106" s="75" t="e" cm="1">
        <f t="array" aca="1" ref="E106" ca="1">INDIRECT(CONCATENATE($D$95,ROW(F106)))</f>
        <v>#N/A</v>
      </c>
      <c r="F106" s="79" t="e" cm="1">
        <f t="array" ref="F106:AE106">D18*$F$102:$AE$102</f>
        <v>#N/A</v>
      </c>
      <c r="G106" s="75" t="e">
        <v>#N/A</v>
      </c>
      <c r="H106" s="75" t="e">
        <v>#N/A</v>
      </c>
      <c r="I106" s="75" t="e">
        <v>#N/A</v>
      </c>
      <c r="J106" s="75" t="e">
        <v>#N/A</v>
      </c>
      <c r="K106" s="75" t="e">
        <v>#N/A</v>
      </c>
      <c r="L106" s="75" t="e">
        <v>#N/A</v>
      </c>
      <c r="M106" s="75" t="e">
        <v>#N/A</v>
      </c>
      <c r="N106" s="75" t="e">
        <v>#N/A</v>
      </c>
      <c r="O106" s="75" t="e">
        <v>#N/A</v>
      </c>
      <c r="P106" s="75" t="e">
        <v>#N/A</v>
      </c>
      <c r="Q106" s="75" t="e">
        <v>#N/A</v>
      </c>
      <c r="R106" s="75" t="e">
        <v>#N/A</v>
      </c>
      <c r="S106" s="75" t="e">
        <v>#N/A</v>
      </c>
      <c r="T106" s="75" t="e">
        <v>#N/A</v>
      </c>
      <c r="U106" s="75" t="e">
        <v>#N/A</v>
      </c>
      <c r="V106" s="75" t="e">
        <v>#N/A</v>
      </c>
      <c r="W106" s="75" t="e">
        <v>#N/A</v>
      </c>
      <c r="X106" s="75" t="e">
        <v>#N/A</v>
      </c>
      <c r="Y106" s="75" t="e">
        <v>#N/A</v>
      </c>
      <c r="Z106" s="75" t="e">
        <v>#N/A</v>
      </c>
      <c r="AA106" s="75" t="e">
        <v>#N/A</v>
      </c>
      <c r="AB106" s="75" t="e">
        <v>#N/A</v>
      </c>
      <c r="AC106" s="75" t="e">
        <v>#N/A</v>
      </c>
      <c r="AD106" s="75" t="e">
        <v>#N/A</v>
      </c>
      <c r="AE106" s="75" t="e">
        <v>#N/A</v>
      </c>
    </row>
    <row r="107" spans="2:31" x14ac:dyDescent="0.35">
      <c r="B107" t="s">
        <v>373</v>
      </c>
      <c r="C107" s="7" t="s">
        <v>100</v>
      </c>
      <c r="D107" s="75">
        <f ca="1">SUM(INDIRECT(CONCATENATE("F",ROW(F107),":",$D$95,ROW(F107))))</f>
        <v>0</v>
      </c>
      <c r="E107" s="75" cm="1">
        <f t="array" aca="1" ref="E107" ca="1">INDIRECT(CONCATENATE($D$95,ROW(F107)))</f>
        <v>0</v>
      </c>
      <c r="F107" s="79" cm="1">
        <f t="array" ref="F107:AE107">D27*$F$102:$AE$102</f>
        <v>0</v>
      </c>
      <c r="G107" s="75">
        <v>0</v>
      </c>
      <c r="H107" s="75">
        <v>0</v>
      </c>
      <c r="I107" s="75">
        <v>0</v>
      </c>
      <c r="J107" s="75">
        <v>0</v>
      </c>
      <c r="K107" s="75">
        <v>0</v>
      </c>
      <c r="L107" s="75">
        <v>0</v>
      </c>
      <c r="M107" s="75">
        <v>0</v>
      </c>
      <c r="N107" s="75">
        <v>0</v>
      </c>
      <c r="O107" s="75">
        <v>0</v>
      </c>
      <c r="P107" s="75">
        <v>0</v>
      </c>
      <c r="Q107" s="75">
        <v>0</v>
      </c>
      <c r="R107" s="75">
        <v>0</v>
      </c>
      <c r="S107" s="75">
        <v>0</v>
      </c>
      <c r="T107" s="75">
        <v>0</v>
      </c>
      <c r="U107" s="75">
        <v>0</v>
      </c>
      <c r="V107" s="75">
        <v>0</v>
      </c>
      <c r="W107" s="75">
        <v>0</v>
      </c>
      <c r="X107" s="75">
        <v>0</v>
      </c>
      <c r="Y107" s="75">
        <v>0</v>
      </c>
      <c r="Z107" s="75">
        <v>0</v>
      </c>
      <c r="AA107" s="75">
        <v>0</v>
      </c>
      <c r="AB107" s="75">
        <v>0</v>
      </c>
      <c r="AC107" s="75">
        <v>0</v>
      </c>
      <c r="AD107" s="75">
        <v>0</v>
      </c>
      <c r="AE107" s="75">
        <v>0</v>
      </c>
    </row>
    <row r="108" spans="2:31" x14ac:dyDescent="0.35">
      <c r="B108" t="s">
        <v>102</v>
      </c>
      <c r="C108" s="7" t="s">
        <v>100</v>
      </c>
      <c r="D108" s="75" t="e">
        <f ca="1">SUM(INDIRECT(CONCATENATE("F",ROW(F108),":",$D$95,ROW(F108))))</f>
        <v>#N/A</v>
      </c>
      <c r="E108" s="75" t="e" cm="1">
        <f t="array" aca="1" ref="E108" ca="1">INDIRECT(CONCATENATE($D$95,ROW(F108)))</f>
        <v>#N/A</v>
      </c>
      <c r="F108" s="79" t="e" cm="1">
        <f t="array" ref="F108:AE108">SUM(F105:F107)*$F$102:$AE$102</f>
        <v>#N/A</v>
      </c>
      <c r="G108" s="75" t="e">
        <v>#N/A</v>
      </c>
      <c r="H108" s="75" t="e">
        <v>#N/A</v>
      </c>
      <c r="I108" s="75" t="e">
        <v>#N/A</v>
      </c>
      <c r="J108" s="75" t="e">
        <v>#N/A</v>
      </c>
      <c r="K108" s="75" t="e">
        <v>#N/A</v>
      </c>
      <c r="L108" s="75" t="e">
        <v>#N/A</v>
      </c>
      <c r="M108" s="75" t="e">
        <v>#N/A</v>
      </c>
      <c r="N108" s="75" t="e">
        <v>#N/A</v>
      </c>
      <c r="O108" s="75" t="e">
        <v>#N/A</v>
      </c>
      <c r="P108" s="75" t="e">
        <v>#N/A</v>
      </c>
      <c r="Q108" s="75" t="e">
        <v>#N/A</v>
      </c>
      <c r="R108" s="75" t="e">
        <v>#N/A</v>
      </c>
      <c r="S108" s="75" t="e">
        <v>#N/A</v>
      </c>
      <c r="T108" s="75" t="e">
        <v>#N/A</v>
      </c>
      <c r="U108" s="75" t="e">
        <v>#N/A</v>
      </c>
      <c r="V108" s="75" t="e">
        <v>#N/A</v>
      </c>
      <c r="W108" s="75" t="e">
        <v>#N/A</v>
      </c>
      <c r="X108" s="75" t="e">
        <v>#N/A</v>
      </c>
      <c r="Y108" s="75" t="e">
        <v>#N/A</v>
      </c>
      <c r="Z108" s="75" t="e">
        <v>#N/A</v>
      </c>
      <c r="AA108" s="75" t="e">
        <v>#N/A</v>
      </c>
      <c r="AB108" s="75" t="e">
        <v>#N/A</v>
      </c>
      <c r="AC108" s="75" t="e">
        <v>#N/A</v>
      </c>
      <c r="AD108" s="75" t="e">
        <v>#N/A</v>
      </c>
      <c r="AE108" s="75" t="e">
        <v>#N/A</v>
      </c>
    </row>
    <row r="109" spans="2:31" x14ac:dyDescent="0.35">
      <c r="B109"/>
      <c r="D109"/>
      <c r="E109"/>
    </row>
    <row r="110" spans="2:31" x14ac:dyDescent="0.35">
      <c r="B110" t="s">
        <v>103</v>
      </c>
      <c r="C110" s="7" t="s">
        <v>100</v>
      </c>
      <c r="D110" s="75" t="e">
        <f t="shared" ref="D110:D116" ca="1" si="0">SUM(INDIRECT(CONCATENATE("F",ROW(F110),":",$D$95,ROW(F110))))</f>
        <v>#N/A</v>
      </c>
      <c r="E110" s="75" t="e" cm="1">
        <f t="array" aca="1" ref="E110" ca="1">INDIRECT(CONCATENATE($D$95,ROW(F110)))</f>
        <v>#N/A</v>
      </c>
      <c r="F110" s="198" t="e" cm="1">
        <f t="array" ref="F110:AE110">(F105-((D86*F105)+(D90*IF(D24="yes",F107,F106))))*$F$102:$AE$102</f>
        <v>#N/A</v>
      </c>
      <c r="G110" s="75" t="e">
        <v>#N/A</v>
      </c>
      <c r="H110" s="75" t="e">
        <v>#N/A</v>
      </c>
      <c r="I110" s="75" t="e">
        <v>#N/A</v>
      </c>
      <c r="J110" s="75" t="e">
        <v>#N/A</v>
      </c>
      <c r="K110" s="75" t="e">
        <v>#N/A</v>
      </c>
      <c r="L110" s="75" t="e">
        <v>#N/A</v>
      </c>
      <c r="M110" s="75" t="e">
        <v>#N/A</v>
      </c>
      <c r="N110" s="75" t="e">
        <v>#N/A</v>
      </c>
      <c r="O110" s="75" t="e">
        <v>#N/A</v>
      </c>
      <c r="P110" s="75" t="e">
        <v>#N/A</v>
      </c>
      <c r="Q110" s="75" t="e">
        <v>#N/A</v>
      </c>
      <c r="R110" s="75" t="e">
        <v>#N/A</v>
      </c>
      <c r="S110" s="75" t="e">
        <v>#N/A</v>
      </c>
      <c r="T110" s="75" t="e">
        <v>#N/A</v>
      </c>
      <c r="U110" s="75" t="e">
        <v>#N/A</v>
      </c>
      <c r="V110" s="75" t="e">
        <v>#N/A</v>
      </c>
      <c r="W110" s="75" t="e">
        <v>#N/A</v>
      </c>
      <c r="X110" s="75" t="e">
        <v>#N/A</v>
      </c>
      <c r="Y110" s="75" t="e">
        <v>#N/A</v>
      </c>
      <c r="Z110" s="75" t="e">
        <v>#N/A</v>
      </c>
      <c r="AA110" s="75" t="e">
        <v>#N/A</v>
      </c>
      <c r="AB110" s="75" t="e">
        <v>#N/A</v>
      </c>
      <c r="AC110" s="75" t="e">
        <v>#N/A</v>
      </c>
      <c r="AD110" s="75" t="e">
        <v>#N/A</v>
      </c>
      <c r="AE110" s="75" t="e">
        <v>#N/A</v>
      </c>
    </row>
    <row r="111" spans="2:31" x14ac:dyDescent="0.35">
      <c r="B111" t="s">
        <v>104</v>
      </c>
      <c r="C111" s="7" t="s">
        <v>100</v>
      </c>
      <c r="D111" s="75" t="e">
        <f t="shared" ca="1" si="0"/>
        <v>#N/A</v>
      </c>
      <c r="E111" s="75" t="e" cm="1">
        <f t="array" aca="1" ref="E111" ca="1">INDIRECT(CONCATENATE($D$95,ROW(F111)))</f>
        <v>#N/A</v>
      </c>
      <c r="F111" s="79" t="e" cm="1">
        <f t="array" ref="F111:AE111">(F105-((D87*F105)+(D91*IF(D24="yes",F107,F106))))*$F$102:$AE$102</f>
        <v>#N/A</v>
      </c>
      <c r="G111" s="75" t="e">
        <v>#N/A</v>
      </c>
      <c r="H111" s="75" t="e">
        <v>#N/A</v>
      </c>
      <c r="I111" s="75" t="e">
        <v>#N/A</v>
      </c>
      <c r="J111" s="75" t="e">
        <v>#N/A</v>
      </c>
      <c r="K111" s="75" t="e">
        <v>#N/A</v>
      </c>
      <c r="L111" s="75" t="e">
        <v>#N/A</v>
      </c>
      <c r="M111" s="75" t="e">
        <v>#N/A</v>
      </c>
      <c r="N111" s="75" t="e">
        <v>#N/A</v>
      </c>
      <c r="O111" s="75" t="e">
        <v>#N/A</v>
      </c>
      <c r="P111" s="75" t="e">
        <v>#N/A</v>
      </c>
      <c r="Q111" s="75" t="e">
        <v>#N/A</v>
      </c>
      <c r="R111" s="75" t="e">
        <v>#N/A</v>
      </c>
      <c r="S111" s="75" t="e">
        <v>#N/A</v>
      </c>
      <c r="T111" s="75" t="e">
        <v>#N/A</v>
      </c>
      <c r="U111" s="75" t="e">
        <v>#N/A</v>
      </c>
      <c r="V111" s="75" t="e">
        <v>#N/A</v>
      </c>
      <c r="W111" s="75" t="e">
        <v>#N/A</v>
      </c>
      <c r="X111" s="75" t="e">
        <v>#N/A</v>
      </c>
      <c r="Y111" s="75" t="e">
        <v>#N/A</v>
      </c>
      <c r="Z111" s="75" t="e">
        <v>#N/A</v>
      </c>
      <c r="AA111" s="75" t="e">
        <v>#N/A</v>
      </c>
      <c r="AB111" s="75" t="e">
        <v>#N/A</v>
      </c>
      <c r="AC111" s="75" t="e">
        <v>#N/A</v>
      </c>
      <c r="AD111" s="75" t="e">
        <v>#N/A</v>
      </c>
      <c r="AE111" s="75" t="e">
        <v>#N/A</v>
      </c>
    </row>
    <row r="112" spans="2:31" x14ac:dyDescent="0.35">
      <c r="B112" t="s">
        <v>105</v>
      </c>
      <c r="C112" s="7" t="s">
        <v>100</v>
      </c>
      <c r="D112" s="75" t="e">
        <f t="shared" ca="1" si="0"/>
        <v>#N/A</v>
      </c>
      <c r="E112" s="75" t="e" cm="1">
        <f t="array" aca="1" ref="E112" ca="1">INDIRECT(CONCATENATE($D$95,ROW(F112)))</f>
        <v>#N/A</v>
      </c>
      <c r="F112" s="79" t="e" cm="1">
        <f t="array" ref="F112:AE112">(F106-(D84*F106))*$F$102:$AE$102</f>
        <v>#N/A</v>
      </c>
      <c r="G112" s="75" t="e">
        <v>#N/A</v>
      </c>
      <c r="H112" s="75" t="e">
        <v>#N/A</v>
      </c>
      <c r="I112" s="75" t="e">
        <v>#N/A</v>
      </c>
      <c r="J112" s="75" t="e">
        <v>#N/A</v>
      </c>
      <c r="K112" s="75" t="e">
        <v>#N/A</v>
      </c>
      <c r="L112" s="75" t="e">
        <v>#N/A</v>
      </c>
      <c r="M112" s="75" t="e">
        <v>#N/A</v>
      </c>
      <c r="N112" s="75" t="e">
        <v>#N/A</v>
      </c>
      <c r="O112" s="75" t="e">
        <v>#N/A</v>
      </c>
      <c r="P112" s="75" t="e">
        <v>#N/A</v>
      </c>
      <c r="Q112" s="75" t="e">
        <v>#N/A</v>
      </c>
      <c r="R112" s="75" t="e">
        <v>#N/A</v>
      </c>
      <c r="S112" s="75" t="e">
        <v>#N/A</v>
      </c>
      <c r="T112" s="75" t="e">
        <v>#N/A</v>
      </c>
      <c r="U112" s="75" t="e">
        <v>#N/A</v>
      </c>
      <c r="V112" s="75" t="e">
        <v>#N/A</v>
      </c>
      <c r="W112" s="75" t="e">
        <v>#N/A</v>
      </c>
      <c r="X112" s="75" t="e">
        <v>#N/A</v>
      </c>
      <c r="Y112" s="75" t="e">
        <v>#N/A</v>
      </c>
      <c r="Z112" s="75" t="e">
        <v>#N/A</v>
      </c>
      <c r="AA112" s="75" t="e">
        <v>#N/A</v>
      </c>
      <c r="AB112" s="75" t="e">
        <v>#N/A</v>
      </c>
      <c r="AC112" s="75" t="e">
        <v>#N/A</v>
      </c>
      <c r="AD112" s="75" t="e">
        <v>#N/A</v>
      </c>
      <c r="AE112" s="75" t="e">
        <v>#N/A</v>
      </c>
    </row>
    <row r="113" spans="2:31" x14ac:dyDescent="0.35">
      <c r="B113" t="s">
        <v>106</v>
      </c>
      <c r="C113" s="7" t="s">
        <v>100</v>
      </c>
      <c r="D113" s="75" t="e">
        <f t="shared" ca="1" si="0"/>
        <v>#N/A</v>
      </c>
      <c r="E113" s="75" t="e" cm="1">
        <f t="array" aca="1" ref="E113" ca="1">INDIRECT(CONCATENATE($D$95,ROW(F113)))</f>
        <v>#N/A</v>
      </c>
      <c r="F113" s="79" t="e" cm="1">
        <f t="array" ref="F113:AE113">(F106-(D85*F106))*$F$102:$AE$102</f>
        <v>#N/A</v>
      </c>
      <c r="G113" s="75" t="e">
        <v>#N/A</v>
      </c>
      <c r="H113" s="75" t="e">
        <v>#N/A</v>
      </c>
      <c r="I113" s="75" t="e">
        <v>#N/A</v>
      </c>
      <c r="J113" s="75" t="e">
        <v>#N/A</v>
      </c>
      <c r="K113" s="75" t="e">
        <v>#N/A</v>
      </c>
      <c r="L113" s="75" t="e">
        <v>#N/A</v>
      </c>
      <c r="M113" s="75" t="e">
        <v>#N/A</v>
      </c>
      <c r="N113" s="75" t="e">
        <v>#N/A</v>
      </c>
      <c r="O113" s="75" t="e">
        <v>#N/A</v>
      </c>
      <c r="P113" s="75" t="e">
        <v>#N/A</v>
      </c>
      <c r="Q113" s="75" t="e">
        <v>#N/A</v>
      </c>
      <c r="R113" s="75" t="e">
        <v>#N/A</v>
      </c>
      <c r="S113" s="75" t="e">
        <v>#N/A</v>
      </c>
      <c r="T113" s="75" t="e">
        <v>#N/A</v>
      </c>
      <c r="U113" s="75" t="e">
        <v>#N/A</v>
      </c>
      <c r="V113" s="75" t="e">
        <v>#N/A</v>
      </c>
      <c r="W113" s="75" t="e">
        <v>#N/A</v>
      </c>
      <c r="X113" s="75" t="e">
        <v>#N/A</v>
      </c>
      <c r="Y113" s="75" t="e">
        <v>#N/A</v>
      </c>
      <c r="Z113" s="75" t="e">
        <v>#N/A</v>
      </c>
      <c r="AA113" s="75" t="e">
        <v>#N/A</v>
      </c>
      <c r="AB113" s="75" t="e">
        <v>#N/A</v>
      </c>
      <c r="AC113" s="75" t="e">
        <v>#N/A</v>
      </c>
      <c r="AD113" s="75" t="e">
        <v>#N/A</v>
      </c>
      <c r="AE113" s="75" t="e">
        <v>#N/A</v>
      </c>
    </row>
    <row r="114" spans="2:31" x14ac:dyDescent="0.35">
      <c r="B114" t="s">
        <v>374</v>
      </c>
      <c r="C114" s="7" t="s">
        <v>100</v>
      </c>
      <c r="D114" s="75" t="e">
        <f t="shared" ca="1" si="0"/>
        <v>#N/A</v>
      </c>
      <c r="E114" s="75" t="e" cm="1">
        <f t="array" aca="1" ref="E114" ca="1">INDIRECT(CONCATENATE($D$95,ROW(F114)))</f>
        <v>#N/A</v>
      </c>
      <c r="F114" s="79" t="e" cm="1">
        <f t="array" ref="F114:AE114">IF($D$24="yes",
$F$107-(($F$107*D88)),
($F$107*D88)*-1)
*$F$102:$AE$102</f>
        <v>#N/A</v>
      </c>
      <c r="G114" s="75" t="e">
        <v>#N/A</v>
      </c>
      <c r="H114" s="75" t="e">
        <v>#N/A</v>
      </c>
      <c r="I114" s="75" t="e">
        <v>#N/A</v>
      </c>
      <c r="J114" s="75" t="e">
        <v>#N/A</v>
      </c>
      <c r="K114" s="75" t="e">
        <v>#N/A</v>
      </c>
      <c r="L114" s="75" t="e">
        <v>#N/A</v>
      </c>
      <c r="M114" s="75" t="e">
        <v>#N/A</v>
      </c>
      <c r="N114" s="75" t="e">
        <v>#N/A</v>
      </c>
      <c r="O114" s="75" t="e">
        <v>#N/A</v>
      </c>
      <c r="P114" s="75" t="e">
        <v>#N/A</v>
      </c>
      <c r="Q114" s="75" t="e">
        <v>#N/A</v>
      </c>
      <c r="R114" s="75" t="e">
        <v>#N/A</v>
      </c>
      <c r="S114" s="75" t="e">
        <v>#N/A</v>
      </c>
      <c r="T114" s="75" t="e">
        <v>#N/A</v>
      </c>
      <c r="U114" s="75" t="e">
        <v>#N/A</v>
      </c>
      <c r="V114" s="75" t="e">
        <v>#N/A</v>
      </c>
      <c r="W114" s="75" t="e">
        <v>#N/A</v>
      </c>
      <c r="X114" s="75" t="e">
        <v>#N/A</v>
      </c>
      <c r="Y114" s="75" t="e">
        <v>#N/A</v>
      </c>
      <c r="Z114" s="75" t="e">
        <v>#N/A</v>
      </c>
      <c r="AA114" s="75" t="e">
        <v>#N/A</v>
      </c>
      <c r="AB114" s="75" t="e">
        <v>#N/A</v>
      </c>
      <c r="AC114" s="75" t="e">
        <v>#N/A</v>
      </c>
      <c r="AD114" s="75" t="e">
        <v>#N/A</v>
      </c>
      <c r="AE114" s="75" t="e">
        <v>#N/A</v>
      </c>
    </row>
    <row r="115" spans="2:31" x14ac:dyDescent="0.35">
      <c r="B115" t="s">
        <v>375</v>
      </c>
      <c r="C115" s="7" t="s">
        <v>100</v>
      </c>
      <c r="D115" s="75" t="e">
        <f t="shared" ca="1" si="0"/>
        <v>#N/A</v>
      </c>
      <c r="E115" s="75" t="e" cm="1">
        <f t="array" aca="1" ref="E115" ca="1">INDIRECT(CONCATENATE($D$95,ROW(F115)))</f>
        <v>#N/A</v>
      </c>
      <c r="F115" s="79" t="e" cm="1">
        <f t="array" ref="F115:AE115">IF($D$24="yes",
$F$107-(($F$107*D89)),
($F$107*D89)*-1)
*$F$102:$AE$102</f>
        <v>#N/A</v>
      </c>
      <c r="G115" s="75" t="e">
        <v>#N/A</v>
      </c>
      <c r="H115" s="75" t="e">
        <v>#N/A</v>
      </c>
      <c r="I115" s="75" t="e">
        <v>#N/A</v>
      </c>
      <c r="J115" s="75" t="e">
        <v>#N/A</v>
      </c>
      <c r="K115" s="75" t="e">
        <v>#N/A</v>
      </c>
      <c r="L115" s="75" t="e">
        <v>#N/A</v>
      </c>
      <c r="M115" s="75" t="e">
        <v>#N/A</v>
      </c>
      <c r="N115" s="75" t="e">
        <v>#N/A</v>
      </c>
      <c r="O115" s="75" t="e">
        <v>#N/A</v>
      </c>
      <c r="P115" s="75" t="e">
        <v>#N/A</v>
      </c>
      <c r="Q115" s="75" t="e">
        <v>#N/A</v>
      </c>
      <c r="R115" s="75" t="e">
        <v>#N/A</v>
      </c>
      <c r="S115" s="75" t="e">
        <v>#N/A</v>
      </c>
      <c r="T115" s="75" t="e">
        <v>#N/A</v>
      </c>
      <c r="U115" s="75" t="e">
        <v>#N/A</v>
      </c>
      <c r="V115" s="75" t="e">
        <v>#N/A</v>
      </c>
      <c r="W115" s="75" t="e">
        <v>#N/A</v>
      </c>
      <c r="X115" s="75" t="e">
        <v>#N/A</v>
      </c>
      <c r="Y115" s="75" t="e">
        <v>#N/A</v>
      </c>
      <c r="Z115" s="75" t="e">
        <v>#N/A</v>
      </c>
      <c r="AA115" s="75" t="e">
        <v>#N/A</v>
      </c>
      <c r="AB115" s="75" t="e">
        <v>#N/A</v>
      </c>
      <c r="AC115" s="75" t="e">
        <v>#N/A</v>
      </c>
      <c r="AD115" s="75" t="e">
        <v>#N/A</v>
      </c>
      <c r="AE115" s="75" t="e">
        <v>#N/A</v>
      </c>
    </row>
    <row r="116" spans="2:31" x14ac:dyDescent="0.35">
      <c r="B116" t="s">
        <v>107</v>
      </c>
      <c r="C116" s="7" t="s">
        <v>100</v>
      </c>
      <c r="D116" s="75" t="e">
        <f t="shared" ca="1" si="0"/>
        <v>#N/A</v>
      </c>
      <c r="E116" s="75" t="e" cm="1">
        <f t="array" aca="1" ref="E116" ca="1">INDIRECT(CONCATENATE($D$95,ROW(F116)))</f>
        <v>#N/A</v>
      </c>
      <c r="F116" s="79" t="e" cm="1">
        <f t="array" ref="F116:AE116">_xlfn.ANCHORARRAY(F110)+_xlfn.ANCHORARRAY(F112)+_xlfn.ANCHORARRAY(F114)</f>
        <v>#N/A</v>
      </c>
      <c r="G116" s="75" t="e">
        <v>#N/A</v>
      </c>
      <c r="H116" s="75" t="e">
        <v>#N/A</v>
      </c>
      <c r="I116" s="75" t="e">
        <v>#N/A</v>
      </c>
      <c r="J116" s="75" t="e">
        <v>#N/A</v>
      </c>
      <c r="K116" s="75" t="e">
        <v>#N/A</v>
      </c>
      <c r="L116" s="75" t="e">
        <v>#N/A</v>
      </c>
      <c r="M116" s="75" t="e">
        <v>#N/A</v>
      </c>
      <c r="N116" s="75" t="e">
        <v>#N/A</v>
      </c>
      <c r="O116" s="75" t="e">
        <v>#N/A</v>
      </c>
      <c r="P116" s="75" t="e">
        <v>#N/A</v>
      </c>
      <c r="Q116" s="75" t="e">
        <v>#N/A</v>
      </c>
      <c r="R116" s="75" t="e">
        <v>#N/A</v>
      </c>
      <c r="S116" s="75" t="e">
        <v>#N/A</v>
      </c>
      <c r="T116" s="75" t="e">
        <v>#N/A</v>
      </c>
      <c r="U116" s="75" t="e">
        <v>#N/A</v>
      </c>
      <c r="V116" s="75" t="e">
        <v>#N/A</v>
      </c>
      <c r="W116" s="75" t="e">
        <v>#N/A</v>
      </c>
      <c r="X116" s="75" t="e">
        <v>#N/A</v>
      </c>
      <c r="Y116" s="75" t="e">
        <v>#N/A</v>
      </c>
      <c r="Z116" s="75" t="e">
        <v>#N/A</v>
      </c>
      <c r="AA116" s="75" t="e">
        <v>#N/A</v>
      </c>
      <c r="AB116" s="75" t="e">
        <v>#N/A</v>
      </c>
      <c r="AC116" s="75" t="e">
        <v>#N/A</v>
      </c>
      <c r="AD116" s="75" t="e">
        <v>#N/A</v>
      </c>
      <c r="AE116" s="75" t="e">
        <v>#N/A</v>
      </c>
    </row>
    <row r="117" spans="2:31" x14ac:dyDescent="0.35">
      <c r="B117" t="s">
        <v>108</v>
      </c>
      <c r="C117" s="7" t="s">
        <v>100</v>
      </c>
      <c r="D117" s="75" t="e">
        <f ca="1">SUM(INDIRECT(CONCATENATE("F",ROW(F117),":",$D$95,ROW(F117))))</f>
        <v>#N/A</v>
      </c>
      <c r="E117" s="75" t="e" cm="1">
        <f t="array" aca="1" ref="E117" ca="1">INDIRECT(CONCATENATE($D$95,ROW(F117)))</f>
        <v>#N/A</v>
      </c>
      <c r="F117" s="79" t="e" cm="1">
        <f t="array" ref="F117:AE117">_xlfn.ANCHORARRAY(F111)+_xlfn.ANCHORARRAY(F113)+_xlfn.ANCHORARRAY(F115)</f>
        <v>#N/A</v>
      </c>
      <c r="G117" s="75" t="e">
        <v>#N/A</v>
      </c>
      <c r="H117" s="75" t="e">
        <v>#N/A</v>
      </c>
      <c r="I117" s="75" t="e">
        <v>#N/A</v>
      </c>
      <c r="J117" s="75" t="e">
        <v>#N/A</v>
      </c>
      <c r="K117" s="75" t="e">
        <v>#N/A</v>
      </c>
      <c r="L117" s="75" t="e">
        <v>#N/A</v>
      </c>
      <c r="M117" s="75" t="e">
        <v>#N/A</v>
      </c>
      <c r="N117" s="75" t="e">
        <v>#N/A</v>
      </c>
      <c r="O117" s="75" t="e">
        <v>#N/A</v>
      </c>
      <c r="P117" s="75" t="e">
        <v>#N/A</v>
      </c>
      <c r="Q117" s="75" t="e">
        <v>#N/A</v>
      </c>
      <c r="R117" s="75" t="e">
        <v>#N/A</v>
      </c>
      <c r="S117" s="75" t="e">
        <v>#N/A</v>
      </c>
      <c r="T117" s="75" t="e">
        <v>#N/A</v>
      </c>
      <c r="U117" s="75" t="e">
        <v>#N/A</v>
      </c>
      <c r="V117" s="75" t="e">
        <v>#N/A</v>
      </c>
      <c r="W117" s="75" t="e">
        <v>#N/A</v>
      </c>
      <c r="X117" s="75" t="e">
        <v>#N/A</v>
      </c>
      <c r="Y117" s="75" t="e">
        <v>#N/A</v>
      </c>
      <c r="Z117" s="75" t="e">
        <v>#N/A</v>
      </c>
      <c r="AA117" s="75" t="e">
        <v>#N/A</v>
      </c>
      <c r="AB117" s="75" t="e">
        <v>#N/A</v>
      </c>
      <c r="AC117" s="75" t="e">
        <v>#N/A</v>
      </c>
      <c r="AD117" s="75" t="e">
        <v>#N/A</v>
      </c>
      <c r="AE117" s="75" t="e">
        <v>#N/A</v>
      </c>
    </row>
    <row r="118" spans="2:31" x14ac:dyDescent="0.35">
      <c r="B118"/>
      <c r="C118"/>
      <c r="D118"/>
      <c r="E118"/>
    </row>
    <row r="119" spans="2:31" x14ac:dyDescent="0.35">
      <c r="B119" s="1" t="s">
        <v>109</v>
      </c>
      <c r="C119"/>
      <c r="D119"/>
      <c r="E119"/>
    </row>
    <row r="120" spans="2:31" x14ac:dyDescent="0.35">
      <c r="B120" t="s">
        <v>19</v>
      </c>
      <c r="C120" s="7" t="s">
        <v>110</v>
      </c>
      <c r="E120" s="21"/>
      <c r="F120" s="80" cm="1">
        <f t="array" ref="F120:AE120">1.921*$F$102:$AE$102</f>
        <v>1.921</v>
      </c>
      <c r="G120" s="81">
        <v>1.921</v>
      </c>
      <c r="H120" s="81">
        <v>1.921</v>
      </c>
      <c r="I120" s="81">
        <v>1.921</v>
      </c>
      <c r="J120" s="81">
        <v>1.921</v>
      </c>
      <c r="K120" s="81">
        <v>1.921</v>
      </c>
      <c r="L120" s="81">
        <v>1.921</v>
      </c>
      <c r="M120" s="81">
        <v>1.921</v>
      </c>
      <c r="N120" s="81">
        <v>1.921</v>
      </c>
      <c r="O120" s="81">
        <v>1.921</v>
      </c>
      <c r="P120" s="81">
        <v>1.921</v>
      </c>
      <c r="Q120" s="81">
        <v>1.921</v>
      </c>
      <c r="R120" s="81">
        <v>1.921</v>
      </c>
      <c r="S120" s="81">
        <v>1.921</v>
      </c>
      <c r="T120" s="81">
        <v>1.921</v>
      </c>
      <c r="U120" s="81">
        <v>1.921</v>
      </c>
      <c r="V120" s="81">
        <v>1.921</v>
      </c>
      <c r="W120" s="81">
        <v>1.921</v>
      </c>
      <c r="X120" s="81">
        <v>1.921</v>
      </c>
      <c r="Y120" s="81">
        <v>1.921</v>
      </c>
      <c r="Z120" s="81">
        <v>1.921</v>
      </c>
      <c r="AA120" s="81">
        <v>1.921</v>
      </c>
      <c r="AB120" s="81">
        <v>1.921</v>
      </c>
      <c r="AC120" s="81">
        <v>1.921</v>
      </c>
      <c r="AD120" s="81">
        <v>1.921</v>
      </c>
      <c r="AE120" s="81">
        <v>1.921</v>
      </c>
    </row>
    <row r="121" spans="2:31" x14ac:dyDescent="0.35">
      <c r="B121" t="s">
        <v>19</v>
      </c>
      <c r="C121" s="7" t="s">
        <v>111</v>
      </c>
      <c r="E121" s="21"/>
      <c r="F121" s="80">
        <v>0.16800000000000001</v>
      </c>
      <c r="G121" s="80">
        <v>0.16700000000000001</v>
      </c>
      <c r="H121" s="80">
        <v>0.16600000000000001</v>
      </c>
      <c r="I121" s="80">
        <v>0.16500000000000001</v>
      </c>
      <c r="J121" s="80">
        <v>0.16400000000000001</v>
      </c>
      <c r="K121" s="80">
        <v>0.16300000000000001</v>
      </c>
      <c r="L121" s="81">
        <f>$K$121</f>
        <v>0.16300000000000001</v>
      </c>
      <c r="M121" s="81">
        <f t="shared" ref="M121:AE121" si="1">$K$121</f>
        <v>0.16300000000000001</v>
      </c>
      <c r="N121" s="81">
        <f t="shared" si="1"/>
        <v>0.16300000000000001</v>
      </c>
      <c r="O121" s="81">
        <f t="shared" si="1"/>
        <v>0.16300000000000001</v>
      </c>
      <c r="P121" s="81">
        <f t="shared" si="1"/>
        <v>0.16300000000000001</v>
      </c>
      <c r="Q121" s="81">
        <f t="shared" si="1"/>
        <v>0.16300000000000001</v>
      </c>
      <c r="R121" s="81">
        <f t="shared" si="1"/>
        <v>0.16300000000000001</v>
      </c>
      <c r="S121" s="81">
        <f t="shared" si="1"/>
        <v>0.16300000000000001</v>
      </c>
      <c r="T121" s="81">
        <f t="shared" si="1"/>
        <v>0.16300000000000001</v>
      </c>
      <c r="U121" s="81">
        <f t="shared" si="1"/>
        <v>0.16300000000000001</v>
      </c>
      <c r="V121" s="81">
        <f t="shared" si="1"/>
        <v>0.16300000000000001</v>
      </c>
      <c r="W121" s="81">
        <f t="shared" si="1"/>
        <v>0.16300000000000001</v>
      </c>
      <c r="X121" s="81">
        <f t="shared" si="1"/>
        <v>0.16300000000000001</v>
      </c>
      <c r="Y121" s="81">
        <f t="shared" si="1"/>
        <v>0.16300000000000001</v>
      </c>
      <c r="Z121" s="81">
        <f t="shared" si="1"/>
        <v>0.16300000000000001</v>
      </c>
      <c r="AA121" s="81">
        <f t="shared" si="1"/>
        <v>0.16300000000000001</v>
      </c>
      <c r="AB121" s="81">
        <f t="shared" si="1"/>
        <v>0.16300000000000001</v>
      </c>
      <c r="AC121" s="81">
        <f t="shared" si="1"/>
        <v>0.16300000000000001</v>
      </c>
      <c r="AD121" s="81">
        <f t="shared" si="1"/>
        <v>0.16300000000000001</v>
      </c>
      <c r="AE121" s="81">
        <f t="shared" si="1"/>
        <v>0.16300000000000001</v>
      </c>
    </row>
    <row r="122" spans="2:31" x14ac:dyDescent="0.35">
      <c r="B122" t="s">
        <v>20</v>
      </c>
      <c r="C122" s="7" t="s">
        <v>111</v>
      </c>
      <c r="E122" s="21"/>
      <c r="F122" s="80">
        <v>0.05</v>
      </c>
      <c r="G122" s="80">
        <v>0.05</v>
      </c>
      <c r="H122" s="80">
        <v>0.05</v>
      </c>
      <c r="I122" s="80">
        <v>0.05</v>
      </c>
      <c r="J122" s="80">
        <v>0.05</v>
      </c>
      <c r="K122" s="80">
        <v>0.05</v>
      </c>
      <c r="L122" s="80">
        <v>0.03</v>
      </c>
      <c r="M122" s="80">
        <v>0.03</v>
      </c>
      <c r="N122" s="80">
        <v>0.03</v>
      </c>
      <c r="O122" s="80">
        <v>0.03</v>
      </c>
      <c r="P122" s="80">
        <v>0.03</v>
      </c>
      <c r="Q122" s="80">
        <v>1.4999999999999999E-2</v>
      </c>
      <c r="R122" s="80">
        <v>1.4999999999999999E-2</v>
      </c>
      <c r="S122" s="80">
        <v>1.4999999999999999E-2</v>
      </c>
      <c r="T122" s="80">
        <v>1.4999999999999999E-2</v>
      </c>
      <c r="U122" s="80">
        <v>1.4999999999999999E-2</v>
      </c>
      <c r="V122" s="80">
        <v>0.01</v>
      </c>
      <c r="W122" s="80">
        <v>0.01</v>
      </c>
      <c r="X122" s="80">
        <v>0.01</v>
      </c>
      <c r="Y122" s="80">
        <v>0.01</v>
      </c>
      <c r="Z122" s="80">
        <v>0.01</v>
      </c>
      <c r="AA122" s="80">
        <v>0.01</v>
      </c>
      <c r="AB122" s="80">
        <v>0.01</v>
      </c>
      <c r="AC122" s="80">
        <v>0.01</v>
      </c>
      <c r="AD122" s="80">
        <v>0.01</v>
      </c>
      <c r="AE122" s="80">
        <v>0.01</v>
      </c>
    </row>
    <row r="123" spans="2:31" x14ac:dyDescent="0.35">
      <c r="B123" t="s">
        <v>21</v>
      </c>
      <c r="C123" s="7" t="s">
        <v>111</v>
      </c>
      <c r="E123" s="21"/>
      <c r="F123" s="80" cm="1">
        <f t="array" ref="F123:AE123">'Drop Down Database'!O12*F102:AE102</f>
        <v>0.21718829665774589</v>
      </c>
      <c r="G123" s="81">
        <v>0.21718829665774589</v>
      </c>
      <c r="H123" s="81">
        <v>0.21718829665774589</v>
      </c>
      <c r="I123" s="81">
        <v>0.21718829665774589</v>
      </c>
      <c r="J123" s="81">
        <v>0.21718829665774589</v>
      </c>
      <c r="K123" s="81">
        <v>0.21718829665774589</v>
      </c>
      <c r="L123" s="81">
        <v>0.21718829665774589</v>
      </c>
      <c r="M123" s="81">
        <v>0.21718829665774589</v>
      </c>
      <c r="N123" s="81">
        <v>0.21718829665774589</v>
      </c>
      <c r="O123" s="81">
        <v>0.21718829665774589</v>
      </c>
      <c r="P123" s="81">
        <v>0.21718829665774589</v>
      </c>
      <c r="Q123" s="81">
        <v>0.21718829665774589</v>
      </c>
      <c r="R123" s="81">
        <v>0.21718829665774589</v>
      </c>
      <c r="S123" s="81">
        <v>0.21718829665774589</v>
      </c>
      <c r="T123" s="81">
        <v>0.21718829665774589</v>
      </c>
      <c r="U123" s="81">
        <v>0.21718829665774589</v>
      </c>
      <c r="V123" s="81">
        <v>0.21718829665774589</v>
      </c>
      <c r="W123" s="81">
        <v>0.21718829665774589</v>
      </c>
      <c r="X123" s="81">
        <v>0.21718829665774589</v>
      </c>
      <c r="Y123" s="81">
        <v>0.21718829665774589</v>
      </c>
      <c r="Z123" s="81">
        <v>0.21718829665774589</v>
      </c>
      <c r="AA123" s="81">
        <v>0.21718829665774589</v>
      </c>
      <c r="AB123" s="81">
        <v>0.21718829665774589</v>
      </c>
      <c r="AC123" s="81">
        <v>0.21718829665774589</v>
      </c>
      <c r="AD123" s="81">
        <v>0.21718829665774589</v>
      </c>
      <c r="AE123" s="81">
        <v>0.21718829665774589</v>
      </c>
    </row>
    <row r="124" spans="2:31" x14ac:dyDescent="0.35">
      <c r="B124" t="s">
        <v>339</v>
      </c>
      <c r="C124" s="7" t="s">
        <v>111</v>
      </c>
      <c r="E124" s="21"/>
      <c r="F124" s="80" cm="1">
        <f t="array" ref="F124:AE124">0.05*F102:AE102</f>
        <v>0.05</v>
      </c>
      <c r="G124" s="81">
        <v>0.05</v>
      </c>
      <c r="H124" s="81">
        <v>0.05</v>
      </c>
      <c r="I124" s="81">
        <v>0.05</v>
      </c>
      <c r="J124" s="81">
        <v>0.05</v>
      </c>
      <c r="K124" s="81">
        <v>0.05</v>
      </c>
      <c r="L124" s="81">
        <v>0.05</v>
      </c>
      <c r="M124" s="81">
        <v>0.05</v>
      </c>
      <c r="N124" s="81">
        <v>0.05</v>
      </c>
      <c r="O124" s="81">
        <v>0.05</v>
      </c>
      <c r="P124" s="81">
        <v>0.05</v>
      </c>
      <c r="Q124" s="81">
        <v>0.05</v>
      </c>
      <c r="R124" s="81">
        <v>0.05</v>
      </c>
      <c r="S124" s="81">
        <v>0.05</v>
      </c>
      <c r="T124" s="81">
        <v>0.05</v>
      </c>
      <c r="U124" s="81">
        <v>0.05</v>
      </c>
      <c r="V124" s="81">
        <v>0.05</v>
      </c>
      <c r="W124" s="81">
        <v>0.05</v>
      </c>
      <c r="X124" s="81">
        <v>0.05</v>
      </c>
      <c r="Y124" s="81">
        <v>0.05</v>
      </c>
      <c r="Z124" s="81">
        <v>0.05</v>
      </c>
      <c r="AA124" s="81">
        <v>0.05</v>
      </c>
      <c r="AB124" s="81">
        <v>0.05</v>
      </c>
      <c r="AC124" s="81">
        <v>0.05</v>
      </c>
      <c r="AD124" s="81">
        <v>0.05</v>
      </c>
      <c r="AE124" s="81">
        <v>0.05</v>
      </c>
    </row>
    <row r="125" spans="2:31" x14ac:dyDescent="0.35">
      <c r="E125" s="21"/>
      <c r="F125" s="5"/>
    </row>
    <row r="126" spans="2:31" x14ac:dyDescent="0.35">
      <c r="B126" t="s">
        <v>112</v>
      </c>
      <c r="C126" s="7" t="s">
        <v>113</v>
      </c>
      <c r="D126" s="75" t="e">
        <f ca="1">SUM(INDIRECT(CONCATENATE("F",ROW(F126),":",$D$95,ROW(F126))))</f>
        <v>#N/A</v>
      </c>
      <c r="E126" s="75" t="e" cm="1">
        <f t="array" aca="1" ref="E126" ca="1">INDIRECT(CONCATENATE($D$95,ROW(F126)))</f>
        <v>#N/A</v>
      </c>
      <c r="F126" s="79" t="e" cm="1">
        <f t="array" ref="F126:AE126">F105:AE105*F122:AE122</f>
        <v>#N/A</v>
      </c>
      <c r="G126" s="75" t="e">
        <v>#N/A</v>
      </c>
      <c r="H126" s="75" t="e">
        <v>#N/A</v>
      </c>
      <c r="I126" s="75" t="e">
        <v>#N/A</v>
      </c>
      <c r="J126" s="75" t="e">
        <v>#N/A</v>
      </c>
      <c r="K126" s="75" t="e">
        <v>#N/A</v>
      </c>
      <c r="L126" s="75" t="e">
        <v>#N/A</v>
      </c>
      <c r="M126" s="75" t="e">
        <v>#N/A</v>
      </c>
      <c r="N126" s="75" t="e">
        <v>#N/A</v>
      </c>
      <c r="O126" s="75" t="e">
        <v>#N/A</v>
      </c>
      <c r="P126" s="75" t="e">
        <v>#N/A</v>
      </c>
      <c r="Q126" s="75" t="e">
        <v>#N/A</v>
      </c>
      <c r="R126" s="75" t="e">
        <v>#N/A</v>
      </c>
      <c r="S126" s="75" t="e">
        <v>#N/A</v>
      </c>
      <c r="T126" s="75" t="e">
        <v>#N/A</v>
      </c>
      <c r="U126" s="75" t="e">
        <v>#N/A</v>
      </c>
      <c r="V126" s="75" t="e">
        <v>#N/A</v>
      </c>
      <c r="W126" s="75" t="e">
        <v>#N/A</v>
      </c>
      <c r="X126" s="75" t="e">
        <v>#N/A</v>
      </c>
      <c r="Y126" s="75" t="e">
        <v>#N/A</v>
      </c>
      <c r="Z126" s="75" t="e">
        <v>#N/A</v>
      </c>
      <c r="AA126" s="75" t="e">
        <v>#N/A</v>
      </c>
      <c r="AB126" s="75" t="e">
        <v>#N/A</v>
      </c>
      <c r="AC126" s="75" t="e">
        <v>#N/A</v>
      </c>
      <c r="AD126" s="75" t="e">
        <v>#N/A</v>
      </c>
      <c r="AE126" s="75" t="e">
        <v>#N/A</v>
      </c>
    </row>
    <row r="127" spans="2:31" x14ac:dyDescent="0.35">
      <c r="B127" t="s">
        <v>114</v>
      </c>
      <c r="C127" s="7" t="s">
        <v>113</v>
      </c>
      <c r="D127" s="75" t="e">
        <f ca="1">SUM(INDIRECT(CONCATENATE("F",ROW(F127),":",$D$95,ROW(F127))))</f>
        <v>#N/A</v>
      </c>
      <c r="E127" s="75" t="e" cm="1">
        <f t="array" aca="1" ref="E127" ca="1">INDIRECT(CONCATENATE($D$95,ROW(F127)))</f>
        <v>#N/A</v>
      </c>
      <c r="F127" s="79" t="e" cm="1">
        <f t="array" ref="F127:AE127">_xlfn.ANCHORARRAY(F106)*F121:AE121</f>
        <v>#N/A</v>
      </c>
      <c r="G127" s="75" t="e">
        <v>#N/A</v>
      </c>
      <c r="H127" s="75" t="e">
        <v>#N/A</v>
      </c>
      <c r="I127" s="75" t="e">
        <v>#N/A</v>
      </c>
      <c r="J127" s="75" t="e">
        <v>#N/A</v>
      </c>
      <c r="K127" s="75" t="e">
        <v>#N/A</v>
      </c>
      <c r="L127" s="75" t="e">
        <v>#N/A</v>
      </c>
      <c r="M127" s="75" t="e">
        <v>#N/A</v>
      </c>
      <c r="N127" s="75" t="e">
        <v>#N/A</v>
      </c>
      <c r="O127" s="75" t="e">
        <v>#N/A</v>
      </c>
      <c r="P127" s="75" t="e">
        <v>#N/A</v>
      </c>
      <c r="Q127" s="75" t="e">
        <v>#N/A</v>
      </c>
      <c r="R127" s="75" t="e">
        <v>#N/A</v>
      </c>
      <c r="S127" s="75" t="e">
        <v>#N/A</v>
      </c>
      <c r="T127" s="75" t="e">
        <v>#N/A</v>
      </c>
      <c r="U127" s="75" t="e">
        <v>#N/A</v>
      </c>
      <c r="V127" s="75" t="e">
        <v>#N/A</v>
      </c>
      <c r="W127" s="75" t="e">
        <v>#N/A</v>
      </c>
      <c r="X127" s="75" t="e">
        <v>#N/A</v>
      </c>
      <c r="Y127" s="75" t="e">
        <v>#N/A</v>
      </c>
      <c r="Z127" s="75" t="e">
        <v>#N/A</v>
      </c>
      <c r="AA127" s="75" t="e">
        <v>#N/A</v>
      </c>
      <c r="AB127" s="75" t="e">
        <v>#N/A</v>
      </c>
      <c r="AC127" s="75" t="e">
        <v>#N/A</v>
      </c>
      <c r="AD127" s="75" t="e">
        <v>#N/A</v>
      </c>
      <c r="AE127" s="75" t="e">
        <v>#N/A</v>
      </c>
    </row>
    <row r="128" spans="2:31" x14ac:dyDescent="0.35">
      <c r="B128" t="s">
        <v>115</v>
      </c>
      <c r="C128" s="7" t="s">
        <v>113</v>
      </c>
      <c r="D128" s="75">
        <f ca="1">SUM(INDIRECT(CONCATENATE("F",ROW(F128),":",$D$95,ROW(F128))))</f>
        <v>0</v>
      </c>
      <c r="E128" s="75" cm="1">
        <f t="array" aca="1" ref="E128" ca="1">INDIRECT(CONCATENATE($D$95,ROW(F128)))</f>
        <v>0</v>
      </c>
      <c r="F128" s="79" cm="1">
        <f t="array" ref="F128:AE128">_xlfn.ANCHORARRAY(F107)*F123:AE123</f>
        <v>0</v>
      </c>
      <c r="G128" s="75">
        <v>0</v>
      </c>
      <c r="H128" s="75">
        <v>0</v>
      </c>
      <c r="I128" s="75">
        <v>0</v>
      </c>
      <c r="J128" s="75">
        <v>0</v>
      </c>
      <c r="K128" s="75">
        <v>0</v>
      </c>
      <c r="L128" s="75">
        <v>0</v>
      </c>
      <c r="M128" s="75">
        <v>0</v>
      </c>
      <c r="N128" s="75">
        <v>0</v>
      </c>
      <c r="O128" s="75">
        <v>0</v>
      </c>
      <c r="P128" s="75">
        <v>0</v>
      </c>
      <c r="Q128" s="75">
        <v>0</v>
      </c>
      <c r="R128" s="75">
        <v>0</v>
      </c>
      <c r="S128" s="75">
        <v>0</v>
      </c>
      <c r="T128" s="75">
        <v>0</v>
      </c>
      <c r="U128" s="75">
        <v>0</v>
      </c>
      <c r="V128" s="75">
        <v>0</v>
      </c>
      <c r="W128" s="75">
        <v>0</v>
      </c>
      <c r="X128" s="75">
        <v>0</v>
      </c>
      <c r="Y128" s="75">
        <v>0</v>
      </c>
      <c r="Z128" s="75">
        <v>0</v>
      </c>
      <c r="AA128" s="75">
        <v>0</v>
      </c>
      <c r="AB128" s="75">
        <v>0</v>
      </c>
      <c r="AC128" s="75">
        <v>0</v>
      </c>
      <c r="AD128" s="75">
        <v>0</v>
      </c>
      <c r="AE128" s="75">
        <v>0</v>
      </c>
    </row>
    <row r="129" spans="2:32" x14ac:dyDescent="0.35">
      <c r="B129" t="s">
        <v>116</v>
      </c>
      <c r="C129" s="7" t="s">
        <v>113</v>
      </c>
      <c r="D129" s="75" t="e">
        <f ca="1">SUM(INDIRECT(CONCATENATE("F",ROW(F129),":",$D$95,ROW(F129))))</f>
        <v>#N/A</v>
      </c>
      <c r="E129" s="75" t="e" cm="1">
        <f t="array" aca="1" ref="E129" ca="1">INDIRECT(CONCATENATE($D$95,ROW(F129)))</f>
        <v>#N/A</v>
      </c>
      <c r="F129" s="79" t="e" cm="1">
        <f t="array" ref="F129:AE129">F126:AE126+F127:AE127+F128:AE128</f>
        <v>#N/A</v>
      </c>
      <c r="G129" s="75" t="e">
        <v>#N/A</v>
      </c>
      <c r="H129" s="75" t="e">
        <v>#N/A</v>
      </c>
      <c r="I129" s="75" t="e">
        <v>#N/A</v>
      </c>
      <c r="J129" s="75" t="e">
        <v>#N/A</v>
      </c>
      <c r="K129" s="75" t="e">
        <v>#N/A</v>
      </c>
      <c r="L129" s="75" t="e">
        <v>#N/A</v>
      </c>
      <c r="M129" s="75" t="e">
        <v>#N/A</v>
      </c>
      <c r="N129" s="75" t="e">
        <v>#N/A</v>
      </c>
      <c r="O129" s="75" t="e">
        <v>#N/A</v>
      </c>
      <c r="P129" s="75" t="e">
        <v>#N/A</v>
      </c>
      <c r="Q129" s="75" t="e">
        <v>#N/A</v>
      </c>
      <c r="R129" s="75" t="e">
        <v>#N/A</v>
      </c>
      <c r="S129" s="75" t="e">
        <v>#N/A</v>
      </c>
      <c r="T129" s="75" t="e">
        <v>#N/A</v>
      </c>
      <c r="U129" s="75" t="e">
        <v>#N/A</v>
      </c>
      <c r="V129" s="75" t="e">
        <v>#N/A</v>
      </c>
      <c r="W129" s="75" t="e">
        <v>#N/A</v>
      </c>
      <c r="X129" s="75" t="e">
        <v>#N/A</v>
      </c>
      <c r="Y129" s="75" t="e">
        <v>#N/A</v>
      </c>
      <c r="Z129" s="75" t="e">
        <v>#N/A</v>
      </c>
      <c r="AA129" s="75" t="e">
        <v>#N/A</v>
      </c>
      <c r="AB129" s="75" t="e">
        <v>#N/A</v>
      </c>
      <c r="AC129" s="75" t="e">
        <v>#N/A</v>
      </c>
      <c r="AD129" s="75" t="e">
        <v>#N/A</v>
      </c>
      <c r="AE129" s="75" t="e">
        <v>#N/A</v>
      </c>
    </row>
    <row r="130" spans="2:32" x14ac:dyDescent="0.35">
      <c r="B130"/>
      <c r="E130" s="21"/>
      <c r="F130" s="5"/>
    </row>
    <row r="131" spans="2:32" x14ac:dyDescent="0.35">
      <c r="B131" t="s">
        <v>117</v>
      </c>
      <c r="C131" s="7" t="s">
        <v>113</v>
      </c>
      <c r="D131" s="75" t="e">
        <f t="shared" ref="D131:D138" ca="1" si="2">SUM(INDIRECT(CONCATENATE("F",ROW(F131),":",$D$95,ROW(F131))))</f>
        <v>#N/A</v>
      </c>
      <c r="E131" s="75" t="e" cm="1">
        <f t="array" aca="1" ref="E131" ca="1">INDIRECT(CONCATENATE($D$95,ROW(F131)))</f>
        <v>#N/A</v>
      </c>
      <c r="F131" s="79" t="e" cm="1">
        <f t="array" ref="F131:AE131">_xlfn.ANCHORARRAY(F110)*F122:AE122</f>
        <v>#N/A</v>
      </c>
      <c r="G131" s="75" t="e">
        <v>#N/A</v>
      </c>
      <c r="H131" s="75" t="e">
        <v>#N/A</v>
      </c>
      <c r="I131" s="75" t="e">
        <v>#N/A</v>
      </c>
      <c r="J131" s="75" t="e">
        <v>#N/A</v>
      </c>
      <c r="K131" s="75" t="e">
        <v>#N/A</v>
      </c>
      <c r="L131" s="75" t="e">
        <v>#N/A</v>
      </c>
      <c r="M131" s="75" t="e">
        <v>#N/A</v>
      </c>
      <c r="N131" s="75" t="e">
        <v>#N/A</v>
      </c>
      <c r="O131" s="75" t="e">
        <v>#N/A</v>
      </c>
      <c r="P131" s="75" t="e">
        <v>#N/A</v>
      </c>
      <c r="Q131" s="75" t="e">
        <v>#N/A</v>
      </c>
      <c r="R131" s="75" t="e">
        <v>#N/A</v>
      </c>
      <c r="S131" s="75" t="e">
        <v>#N/A</v>
      </c>
      <c r="T131" s="75" t="e">
        <v>#N/A</v>
      </c>
      <c r="U131" s="75" t="e">
        <v>#N/A</v>
      </c>
      <c r="V131" s="75" t="e">
        <v>#N/A</v>
      </c>
      <c r="W131" s="75" t="e">
        <v>#N/A</v>
      </c>
      <c r="X131" s="75" t="e">
        <v>#N/A</v>
      </c>
      <c r="Y131" s="75" t="e">
        <v>#N/A</v>
      </c>
      <c r="Z131" s="75" t="e">
        <v>#N/A</v>
      </c>
      <c r="AA131" s="75" t="e">
        <v>#N/A</v>
      </c>
      <c r="AB131" s="75" t="e">
        <v>#N/A</v>
      </c>
      <c r="AC131" s="75" t="e">
        <v>#N/A</v>
      </c>
      <c r="AD131" s="75" t="e">
        <v>#N/A</v>
      </c>
      <c r="AE131" s="75" t="e">
        <v>#N/A</v>
      </c>
    </row>
    <row r="132" spans="2:32" x14ac:dyDescent="0.35">
      <c r="B132" t="s">
        <v>118</v>
      </c>
      <c r="C132" s="7" t="s">
        <v>113</v>
      </c>
      <c r="D132" s="75" t="e">
        <f t="shared" ca="1" si="2"/>
        <v>#N/A</v>
      </c>
      <c r="E132" s="75" t="e" cm="1">
        <f t="array" aca="1" ref="E132" ca="1">INDIRECT(CONCATENATE($D$95,ROW(F132)))</f>
        <v>#N/A</v>
      </c>
      <c r="F132" s="79" t="e" cm="1">
        <f t="array" ref="F132:AE132">_xlfn.ANCHORARRAY(F111)*F122:AE122</f>
        <v>#N/A</v>
      </c>
      <c r="G132" s="75" t="e">
        <v>#N/A</v>
      </c>
      <c r="H132" s="75" t="e">
        <v>#N/A</v>
      </c>
      <c r="I132" s="75" t="e">
        <v>#N/A</v>
      </c>
      <c r="J132" s="75" t="e">
        <v>#N/A</v>
      </c>
      <c r="K132" s="75" t="e">
        <v>#N/A</v>
      </c>
      <c r="L132" s="75" t="e">
        <v>#N/A</v>
      </c>
      <c r="M132" s="75" t="e">
        <v>#N/A</v>
      </c>
      <c r="N132" s="75" t="e">
        <v>#N/A</v>
      </c>
      <c r="O132" s="75" t="e">
        <v>#N/A</v>
      </c>
      <c r="P132" s="75" t="e">
        <v>#N/A</v>
      </c>
      <c r="Q132" s="75" t="e">
        <v>#N/A</v>
      </c>
      <c r="R132" s="75" t="e">
        <v>#N/A</v>
      </c>
      <c r="S132" s="75" t="e">
        <v>#N/A</v>
      </c>
      <c r="T132" s="75" t="e">
        <v>#N/A</v>
      </c>
      <c r="U132" s="75" t="e">
        <v>#N/A</v>
      </c>
      <c r="V132" s="75" t="e">
        <v>#N/A</v>
      </c>
      <c r="W132" s="75" t="e">
        <v>#N/A</v>
      </c>
      <c r="X132" s="75" t="e">
        <v>#N/A</v>
      </c>
      <c r="Y132" s="75" t="e">
        <v>#N/A</v>
      </c>
      <c r="Z132" s="75" t="e">
        <v>#N/A</v>
      </c>
      <c r="AA132" s="75" t="e">
        <v>#N/A</v>
      </c>
      <c r="AB132" s="75" t="e">
        <v>#N/A</v>
      </c>
      <c r="AC132" s="75" t="e">
        <v>#N/A</v>
      </c>
      <c r="AD132" s="75" t="e">
        <v>#N/A</v>
      </c>
      <c r="AE132" s="75" t="e">
        <v>#N/A</v>
      </c>
    </row>
    <row r="133" spans="2:32" x14ac:dyDescent="0.35">
      <c r="B133" t="s">
        <v>119</v>
      </c>
      <c r="C133" s="7" t="s">
        <v>113</v>
      </c>
      <c r="D133" s="75" t="e">
        <f t="shared" ca="1" si="2"/>
        <v>#N/A</v>
      </c>
      <c r="E133" s="75" t="e" cm="1">
        <f t="array" aca="1" ref="E133" ca="1">INDIRECT(CONCATENATE($D$95,ROW(F133)))</f>
        <v>#N/A</v>
      </c>
      <c r="F133" s="79" t="e" cm="1">
        <f t="array" ref="F133:AE133">_xlfn.ANCHORARRAY(F112)*F121:AE121</f>
        <v>#N/A</v>
      </c>
      <c r="G133" s="75" t="e">
        <v>#N/A</v>
      </c>
      <c r="H133" s="75" t="e">
        <v>#N/A</v>
      </c>
      <c r="I133" s="75" t="e">
        <v>#N/A</v>
      </c>
      <c r="J133" s="75" t="e">
        <v>#N/A</v>
      </c>
      <c r="K133" s="75" t="e">
        <v>#N/A</v>
      </c>
      <c r="L133" s="75" t="e">
        <v>#N/A</v>
      </c>
      <c r="M133" s="75" t="e">
        <v>#N/A</v>
      </c>
      <c r="N133" s="75" t="e">
        <v>#N/A</v>
      </c>
      <c r="O133" s="75" t="e">
        <v>#N/A</v>
      </c>
      <c r="P133" s="75" t="e">
        <v>#N/A</v>
      </c>
      <c r="Q133" s="75" t="e">
        <v>#N/A</v>
      </c>
      <c r="R133" s="75" t="e">
        <v>#N/A</v>
      </c>
      <c r="S133" s="75" t="e">
        <v>#N/A</v>
      </c>
      <c r="T133" s="75" t="e">
        <v>#N/A</v>
      </c>
      <c r="U133" s="75" t="e">
        <v>#N/A</v>
      </c>
      <c r="V133" s="75" t="e">
        <v>#N/A</v>
      </c>
      <c r="W133" s="75" t="e">
        <v>#N/A</v>
      </c>
      <c r="X133" s="75" t="e">
        <v>#N/A</v>
      </c>
      <c r="Y133" s="75" t="e">
        <v>#N/A</v>
      </c>
      <c r="Z133" s="75" t="e">
        <v>#N/A</v>
      </c>
      <c r="AA133" s="75" t="e">
        <v>#N/A</v>
      </c>
      <c r="AB133" s="75" t="e">
        <v>#N/A</v>
      </c>
      <c r="AC133" s="75" t="e">
        <v>#N/A</v>
      </c>
      <c r="AD133" s="75" t="e">
        <v>#N/A</v>
      </c>
      <c r="AE133" s="75" t="e">
        <v>#N/A</v>
      </c>
    </row>
    <row r="134" spans="2:32" x14ac:dyDescent="0.35">
      <c r="B134" t="s">
        <v>120</v>
      </c>
      <c r="C134" s="7" t="s">
        <v>113</v>
      </c>
      <c r="D134" s="75" t="e">
        <f t="shared" ca="1" si="2"/>
        <v>#N/A</v>
      </c>
      <c r="E134" s="75" t="e" cm="1">
        <f t="array" aca="1" ref="E134" ca="1">INDIRECT(CONCATENATE($D$95,ROW(F134)))</f>
        <v>#N/A</v>
      </c>
      <c r="F134" s="79" t="e" cm="1">
        <f t="array" ref="F134:AE134">_xlfn.ANCHORARRAY(F113)*F121:AE121</f>
        <v>#N/A</v>
      </c>
      <c r="G134" s="75" t="e">
        <v>#N/A</v>
      </c>
      <c r="H134" s="75" t="e">
        <v>#N/A</v>
      </c>
      <c r="I134" s="75" t="e">
        <v>#N/A</v>
      </c>
      <c r="J134" s="75" t="e">
        <v>#N/A</v>
      </c>
      <c r="K134" s="75" t="e">
        <v>#N/A</v>
      </c>
      <c r="L134" s="75" t="e">
        <v>#N/A</v>
      </c>
      <c r="M134" s="75" t="e">
        <v>#N/A</v>
      </c>
      <c r="N134" s="75" t="e">
        <v>#N/A</v>
      </c>
      <c r="O134" s="75" t="e">
        <v>#N/A</v>
      </c>
      <c r="P134" s="75" t="e">
        <v>#N/A</v>
      </c>
      <c r="Q134" s="75" t="e">
        <v>#N/A</v>
      </c>
      <c r="R134" s="75" t="e">
        <v>#N/A</v>
      </c>
      <c r="S134" s="75" t="e">
        <v>#N/A</v>
      </c>
      <c r="T134" s="75" t="e">
        <v>#N/A</v>
      </c>
      <c r="U134" s="75" t="e">
        <v>#N/A</v>
      </c>
      <c r="V134" s="75" t="e">
        <v>#N/A</v>
      </c>
      <c r="W134" s="75" t="e">
        <v>#N/A</v>
      </c>
      <c r="X134" s="75" t="e">
        <v>#N/A</v>
      </c>
      <c r="Y134" s="75" t="e">
        <v>#N/A</v>
      </c>
      <c r="Z134" s="75" t="e">
        <v>#N/A</v>
      </c>
      <c r="AA134" s="75" t="e">
        <v>#N/A</v>
      </c>
      <c r="AB134" s="75" t="e">
        <v>#N/A</v>
      </c>
      <c r="AC134" s="75" t="e">
        <v>#N/A</v>
      </c>
      <c r="AD134" s="75" t="e">
        <v>#N/A</v>
      </c>
      <c r="AE134" s="75" t="e">
        <v>#N/A</v>
      </c>
    </row>
    <row r="135" spans="2:32" x14ac:dyDescent="0.35">
      <c r="B135" t="s">
        <v>121</v>
      </c>
      <c r="C135" s="7" t="s">
        <v>113</v>
      </c>
      <c r="D135" s="75" t="e">
        <f t="shared" ca="1" si="2"/>
        <v>#N/A</v>
      </c>
      <c r="E135" s="75" t="e" cm="1">
        <f t="array" aca="1" ref="E135" ca="1">INDIRECT(CONCATENATE($D$95,ROW(F135)))</f>
        <v>#N/A</v>
      </c>
      <c r="F135" s="79" t="e" cm="1">
        <f t="array" ref="F135:AE135">_xlfn.ANCHORARRAY(F114)*F123:AE123</f>
        <v>#N/A</v>
      </c>
      <c r="G135" s="75" t="e">
        <v>#N/A</v>
      </c>
      <c r="H135" s="75" t="e">
        <v>#N/A</v>
      </c>
      <c r="I135" s="75" t="e">
        <v>#N/A</v>
      </c>
      <c r="J135" s="75" t="e">
        <v>#N/A</v>
      </c>
      <c r="K135" s="75" t="e">
        <v>#N/A</v>
      </c>
      <c r="L135" s="75" t="e">
        <v>#N/A</v>
      </c>
      <c r="M135" s="75" t="e">
        <v>#N/A</v>
      </c>
      <c r="N135" s="75" t="e">
        <v>#N/A</v>
      </c>
      <c r="O135" s="75" t="e">
        <v>#N/A</v>
      </c>
      <c r="P135" s="75" t="e">
        <v>#N/A</v>
      </c>
      <c r="Q135" s="75" t="e">
        <v>#N/A</v>
      </c>
      <c r="R135" s="75" t="e">
        <v>#N/A</v>
      </c>
      <c r="S135" s="75" t="e">
        <v>#N/A</v>
      </c>
      <c r="T135" s="75" t="e">
        <v>#N/A</v>
      </c>
      <c r="U135" s="75" t="e">
        <v>#N/A</v>
      </c>
      <c r="V135" s="75" t="e">
        <v>#N/A</v>
      </c>
      <c r="W135" s="75" t="e">
        <v>#N/A</v>
      </c>
      <c r="X135" s="75" t="e">
        <v>#N/A</v>
      </c>
      <c r="Y135" s="75" t="e">
        <v>#N/A</v>
      </c>
      <c r="Z135" s="75" t="e">
        <v>#N/A</v>
      </c>
      <c r="AA135" s="75" t="e">
        <v>#N/A</v>
      </c>
      <c r="AB135" s="75" t="e">
        <v>#N/A</v>
      </c>
      <c r="AC135" s="75" t="e">
        <v>#N/A</v>
      </c>
      <c r="AD135" s="75" t="e">
        <v>#N/A</v>
      </c>
      <c r="AE135" s="75" t="e">
        <v>#N/A</v>
      </c>
    </row>
    <row r="136" spans="2:32" x14ac:dyDescent="0.35">
      <c r="B136" t="s">
        <v>122</v>
      </c>
      <c r="C136" s="7" t="s">
        <v>113</v>
      </c>
      <c r="D136" s="75" t="e">
        <f t="shared" ca="1" si="2"/>
        <v>#N/A</v>
      </c>
      <c r="E136" s="75" t="e" cm="1">
        <f t="array" aca="1" ref="E136" ca="1">INDIRECT(CONCATENATE($D$95,ROW(F136)))</f>
        <v>#N/A</v>
      </c>
      <c r="F136" s="79" t="e" cm="1">
        <f t="array" ref="F136:AE136">_xlfn.ANCHORARRAY(F115)*F123:AE123</f>
        <v>#N/A</v>
      </c>
      <c r="G136" s="75" t="e">
        <v>#N/A</v>
      </c>
      <c r="H136" s="75" t="e">
        <v>#N/A</v>
      </c>
      <c r="I136" s="75" t="e">
        <v>#N/A</v>
      </c>
      <c r="J136" s="75" t="e">
        <v>#N/A</v>
      </c>
      <c r="K136" s="75" t="e">
        <v>#N/A</v>
      </c>
      <c r="L136" s="75" t="e">
        <v>#N/A</v>
      </c>
      <c r="M136" s="75" t="e">
        <v>#N/A</v>
      </c>
      <c r="N136" s="75" t="e">
        <v>#N/A</v>
      </c>
      <c r="O136" s="75" t="e">
        <v>#N/A</v>
      </c>
      <c r="P136" s="75" t="e">
        <v>#N/A</v>
      </c>
      <c r="Q136" s="75" t="e">
        <v>#N/A</v>
      </c>
      <c r="R136" s="75" t="e">
        <v>#N/A</v>
      </c>
      <c r="S136" s="75" t="e">
        <v>#N/A</v>
      </c>
      <c r="T136" s="75" t="e">
        <v>#N/A</v>
      </c>
      <c r="U136" s="75" t="e">
        <v>#N/A</v>
      </c>
      <c r="V136" s="75" t="e">
        <v>#N/A</v>
      </c>
      <c r="W136" s="75" t="e">
        <v>#N/A</v>
      </c>
      <c r="X136" s="75" t="e">
        <v>#N/A</v>
      </c>
      <c r="Y136" s="75" t="e">
        <v>#N/A</v>
      </c>
      <c r="Z136" s="75" t="e">
        <v>#N/A</v>
      </c>
      <c r="AA136" s="75" t="e">
        <v>#N/A</v>
      </c>
      <c r="AB136" s="75" t="e">
        <v>#N/A</v>
      </c>
      <c r="AC136" s="75" t="e">
        <v>#N/A</v>
      </c>
      <c r="AD136" s="75" t="e">
        <v>#N/A</v>
      </c>
      <c r="AE136" s="75" t="e">
        <v>#N/A</v>
      </c>
    </row>
    <row r="137" spans="2:32" x14ac:dyDescent="0.35">
      <c r="B137" t="s">
        <v>123</v>
      </c>
      <c r="C137" s="7" t="s">
        <v>113</v>
      </c>
      <c r="D137" s="75" t="e">
        <f t="shared" ca="1" si="2"/>
        <v>#N/A</v>
      </c>
      <c r="E137" s="75" t="e" cm="1">
        <f t="array" aca="1" ref="E137" ca="1">INDIRECT(CONCATENATE($D$95,ROW(F137)))</f>
        <v>#N/A</v>
      </c>
      <c r="F137" s="79" t="e" cm="1">
        <f t="array" ref="F137:AE137">F131:AE131+F133:AE133+F135:AE135</f>
        <v>#N/A</v>
      </c>
      <c r="G137" s="75" t="e">
        <v>#N/A</v>
      </c>
      <c r="H137" s="75" t="e">
        <v>#N/A</v>
      </c>
      <c r="I137" s="75" t="e">
        <v>#N/A</v>
      </c>
      <c r="J137" s="75" t="e">
        <v>#N/A</v>
      </c>
      <c r="K137" s="75" t="e">
        <v>#N/A</v>
      </c>
      <c r="L137" s="75" t="e">
        <v>#N/A</v>
      </c>
      <c r="M137" s="75" t="e">
        <v>#N/A</v>
      </c>
      <c r="N137" s="75" t="e">
        <v>#N/A</v>
      </c>
      <c r="O137" s="75" t="e">
        <v>#N/A</v>
      </c>
      <c r="P137" s="75" t="e">
        <v>#N/A</v>
      </c>
      <c r="Q137" s="75" t="e">
        <v>#N/A</v>
      </c>
      <c r="R137" s="75" t="e">
        <v>#N/A</v>
      </c>
      <c r="S137" s="75" t="e">
        <v>#N/A</v>
      </c>
      <c r="T137" s="75" t="e">
        <v>#N/A</v>
      </c>
      <c r="U137" s="75" t="e">
        <v>#N/A</v>
      </c>
      <c r="V137" s="75" t="e">
        <v>#N/A</v>
      </c>
      <c r="W137" s="75" t="e">
        <v>#N/A</v>
      </c>
      <c r="X137" s="75" t="e">
        <v>#N/A</v>
      </c>
      <c r="Y137" s="75" t="e">
        <v>#N/A</v>
      </c>
      <c r="Z137" s="75" t="e">
        <v>#N/A</v>
      </c>
      <c r="AA137" s="75" t="e">
        <v>#N/A</v>
      </c>
      <c r="AB137" s="75" t="e">
        <v>#N/A</v>
      </c>
      <c r="AC137" s="75" t="e">
        <v>#N/A</v>
      </c>
      <c r="AD137" s="75" t="e">
        <v>#N/A</v>
      </c>
      <c r="AE137" s="75" t="e">
        <v>#N/A</v>
      </c>
    </row>
    <row r="138" spans="2:32" x14ac:dyDescent="0.35">
      <c r="B138" t="s">
        <v>124</v>
      </c>
      <c r="C138" s="7" t="s">
        <v>113</v>
      </c>
      <c r="D138" s="75" t="e">
        <f t="shared" ca="1" si="2"/>
        <v>#N/A</v>
      </c>
      <c r="E138" s="75" t="e" cm="1">
        <f t="array" aca="1" ref="E138" ca="1">INDIRECT(CONCATENATE($D$95,ROW(F138)))</f>
        <v>#N/A</v>
      </c>
      <c r="F138" s="79" t="e" cm="1">
        <f t="array" ref="F138:AE138">F132:AE132+F134:AE134+F136:AE136</f>
        <v>#N/A</v>
      </c>
      <c r="G138" s="75" t="e">
        <v>#N/A</v>
      </c>
      <c r="H138" s="75" t="e">
        <v>#N/A</v>
      </c>
      <c r="I138" s="75" t="e">
        <v>#N/A</v>
      </c>
      <c r="J138" s="75" t="e">
        <v>#N/A</v>
      </c>
      <c r="K138" s="75" t="e">
        <v>#N/A</v>
      </c>
      <c r="L138" s="75" t="e">
        <v>#N/A</v>
      </c>
      <c r="M138" s="75" t="e">
        <v>#N/A</v>
      </c>
      <c r="N138" s="75" t="e">
        <v>#N/A</v>
      </c>
      <c r="O138" s="75" t="e">
        <v>#N/A</v>
      </c>
      <c r="P138" s="75" t="e">
        <v>#N/A</v>
      </c>
      <c r="Q138" s="75" t="e">
        <v>#N/A</v>
      </c>
      <c r="R138" s="75" t="e">
        <v>#N/A</v>
      </c>
      <c r="S138" s="75" t="e">
        <v>#N/A</v>
      </c>
      <c r="T138" s="75" t="e">
        <v>#N/A</v>
      </c>
      <c r="U138" s="75" t="e">
        <v>#N/A</v>
      </c>
      <c r="V138" s="75" t="e">
        <v>#N/A</v>
      </c>
      <c r="W138" s="75" t="e">
        <v>#N/A</v>
      </c>
      <c r="X138" s="75" t="e">
        <v>#N/A</v>
      </c>
      <c r="Y138" s="75" t="e">
        <v>#N/A</v>
      </c>
      <c r="Z138" s="75" t="e">
        <v>#N/A</v>
      </c>
      <c r="AA138" s="75" t="e">
        <v>#N/A</v>
      </c>
      <c r="AB138" s="75" t="e">
        <v>#N/A</v>
      </c>
      <c r="AC138" s="75" t="e">
        <v>#N/A</v>
      </c>
      <c r="AD138" s="75" t="e">
        <v>#N/A</v>
      </c>
      <c r="AE138" s="75" t="e">
        <v>#N/A</v>
      </c>
    </row>
    <row r="139" spans="2:32" x14ac:dyDescent="0.35">
      <c r="B139"/>
      <c r="E139" s="21"/>
      <c r="F139" s="5"/>
    </row>
    <row r="140" spans="2:32" x14ac:dyDescent="0.35">
      <c r="B140" s="8" t="s">
        <v>125</v>
      </c>
      <c r="E140" s="21"/>
      <c r="F140" s="5"/>
    </row>
    <row r="141" spans="2:32" x14ac:dyDescent="0.35">
      <c r="B141" t="s">
        <v>126</v>
      </c>
      <c r="C141" s="7" t="s">
        <v>16</v>
      </c>
      <c r="E141" s="21"/>
      <c r="F141" s="80" cm="1">
        <f t="array" ref="F141:AE141">$D$38*(1+$D$49)^$F101:AE101</f>
        <v>0.1303333333333333</v>
      </c>
      <c r="G141" s="81">
        <v>0.13293999999999997</v>
      </c>
      <c r="H141" s="81">
        <v>0.13559879999999996</v>
      </c>
      <c r="I141" s="81">
        <v>0.13831077599999997</v>
      </c>
      <c r="J141" s="81">
        <v>0.14107699151999997</v>
      </c>
      <c r="K141" s="81">
        <v>0.14389853135039996</v>
      </c>
      <c r="L141" s="81">
        <v>0.14677650197740796</v>
      </c>
      <c r="M141" s="81">
        <v>0.1497120320169561</v>
      </c>
      <c r="N141" s="81">
        <v>0.15270627265729522</v>
      </c>
      <c r="O141" s="81">
        <v>0.15576039811044115</v>
      </c>
      <c r="P141" s="81">
        <v>0.15887560607264997</v>
      </c>
      <c r="Q141" s="81">
        <v>0.16205311819410295</v>
      </c>
      <c r="R141" s="81">
        <v>0.16529418055798503</v>
      </c>
      <c r="S141" s="81">
        <v>0.16860006416914472</v>
      </c>
      <c r="T141" s="81">
        <v>0.17197206545252763</v>
      </c>
      <c r="U141" s="81">
        <v>0.17541150676157813</v>
      </c>
      <c r="V141" s="81">
        <v>0.17891973689680973</v>
      </c>
      <c r="W141" s="81">
        <v>0.18249813163474593</v>
      </c>
      <c r="X141" s="81">
        <v>0.18614809426744083</v>
      </c>
      <c r="Y141" s="81">
        <v>0.18987105615278965</v>
      </c>
      <c r="Z141" s="81">
        <v>0.19366847727584546</v>
      </c>
      <c r="AA141" s="81">
        <v>0.19754184682136236</v>
      </c>
      <c r="AB141" s="81">
        <v>0.20149268375778961</v>
      </c>
      <c r="AC141" s="81">
        <v>0.20552253743294535</v>
      </c>
      <c r="AD141" s="81">
        <v>0.20963298818160428</v>
      </c>
      <c r="AE141" s="81">
        <v>0.21382564794523637</v>
      </c>
      <c r="AF141" s="85"/>
    </row>
    <row r="142" spans="2:32" x14ac:dyDescent="0.35">
      <c r="B142" t="s">
        <v>127</v>
      </c>
      <c r="C142" s="7" t="s">
        <v>16</v>
      </c>
      <c r="E142" s="21"/>
      <c r="F142" s="80" cm="1">
        <f t="array" ref="F142:AE142">$D$35*(1+$D$46)^$F101:AE101</f>
        <v>1.4218009478672985E-2</v>
      </c>
      <c r="G142" s="81">
        <v>1.4502369668246445E-2</v>
      </c>
      <c r="H142" s="81">
        <v>1.4792417061611374E-2</v>
      </c>
      <c r="I142" s="81">
        <v>1.5088265402843601E-2</v>
      </c>
      <c r="J142" s="81">
        <v>1.5390030710900473E-2</v>
      </c>
      <c r="K142" s="81">
        <v>1.5697831325118483E-2</v>
      </c>
      <c r="L142" s="81">
        <v>1.6011787951620855E-2</v>
      </c>
      <c r="M142" s="81">
        <v>1.6332023710653266E-2</v>
      </c>
      <c r="N142" s="81">
        <v>1.6658664184866334E-2</v>
      </c>
      <c r="O142" s="81">
        <v>1.6991837468563659E-2</v>
      </c>
      <c r="P142" s="81">
        <v>1.7331674217934936E-2</v>
      </c>
      <c r="Q142" s="81">
        <v>1.767830770229363E-2</v>
      </c>
      <c r="R142" s="81">
        <v>1.8031873856339507E-2</v>
      </c>
      <c r="S142" s="81">
        <v>1.8392511333466293E-2</v>
      </c>
      <c r="T142" s="81">
        <v>1.8760361560135622E-2</v>
      </c>
      <c r="U142" s="81">
        <v>1.913556879133833E-2</v>
      </c>
      <c r="V142" s="81">
        <v>1.95182801671651E-2</v>
      </c>
      <c r="W142" s="81">
        <v>1.9908645770508403E-2</v>
      </c>
      <c r="X142" s="81">
        <v>2.0306818685918569E-2</v>
      </c>
      <c r="Y142" s="81">
        <v>2.0712955059636939E-2</v>
      </c>
      <c r="Z142" s="81">
        <v>2.1127214160829681E-2</v>
      </c>
      <c r="AA142" s="81">
        <v>2.1549758444046271E-2</v>
      </c>
      <c r="AB142" s="81">
        <v>2.1980753612927197E-2</v>
      </c>
      <c r="AC142" s="81">
        <v>2.2420368685185738E-2</v>
      </c>
      <c r="AD142" s="81">
        <v>2.2868776058889456E-2</v>
      </c>
      <c r="AE142" s="81">
        <v>2.3326151580067244E-2</v>
      </c>
    </row>
    <row r="143" spans="2:32" x14ac:dyDescent="0.35">
      <c r="B143" t="s">
        <v>376</v>
      </c>
      <c r="C143" s="7" t="s">
        <v>16</v>
      </c>
      <c r="D143" s="73"/>
      <c r="E143" s="73"/>
      <c r="F143" s="80" cm="1">
        <f t="array" ref="F143:AE143">$D$41*(1+$D$52)^$F101:AE101</f>
        <v>0.11</v>
      </c>
      <c r="G143" s="81">
        <v>0.11220000000000001</v>
      </c>
      <c r="H143" s="81">
        <v>0.114444</v>
      </c>
      <c r="I143" s="81">
        <v>0.11673288</v>
      </c>
      <c r="J143" s="81">
        <v>0.1190675376</v>
      </c>
      <c r="K143" s="81">
        <v>0.121448888352</v>
      </c>
      <c r="L143" s="81">
        <v>0.12387786611904</v>
      </c>
      <c r="M143" s="81">
        <v>0.12635542344142078</v>
      </c>
      <c r="N143" s="81">
        <v>0.1288825319102492</v>
      </c>
      <c r="O143" s="81">
        <v>0.13146018254845418</v>
      </c>
      <c r="P143" s="81">
        <v>0.13408938619942329</v>
      </c>
      <c r="Q143" s="81">
        <v>0.13677117392341173</v>
      </c>
      <c r="R143" s="81">
        <v>0.13950659740187998</v>
      </c>
      <c r="S143" s="81">
        <v>0.14229672934991758</v>
      </c>
      <c r="T143" s="81">
        <v>0.14514266393691594</v>
      </c>
      <c r="U143" s="81">
        <v>0.1480455172156542</v>
      </c>
      <c r="V143" s="81">
        <v>0.15100642755996732</v>
      </c>
      <c r="W143" s="81">
        <v>0.1540265561111667</v>
      </c>
      <c r="X143" s="81">
        <v>0.15710708723339001</v>
      </c>
      <c r="Y143" s="81">
        <v>0.16024922897805779</v>
      </c>
      <c r="Z143" s="81">
        <v>0.16345421355761897</v>
      </c>
      <c r="AA143" s="81">
        <v>0.16672329782877132</v>
      </c>
      <c r="AB143" s="81">
        <v>0.17005776378534676</v>
      </c>
      <c r="AC143" s="81">
        <v>0.17345891906105368</v>
      </c>
      <c r="AD143" s="81">
        <v>0.17692809744227475</v>
      </c>
      <c r="AE143" s="81">
        <v>0.18046665939112025</v>
      </c>
    </row>
    <row r="144" spans="2:32" x14ac:dyDescent="0.35">
      <c r="B144" t="s">
        <v>22</v>
      </c>
      <c r="C144" s="7" t="s">
        <v>4</v>
      </c>
      <c r="E144" s="65"/>
      <c r="F144" s="80" cm="1">
        <f t="array" ref="F144:AE144">IF(D60="User Defined Tax Rate", 'Life Cycle Cost Analysis'!R47:W47, VLOOKUP(D60,'Drop Down Database'!M4:AN7,{3,4,5,6,7,8,9,10,11,12,13,14,15,16,17,18,19,20,21,22,23,24,25,26,27,28},FALSE))</f>
        <v>0</v>
      </c>
      <c r="G144" s="81">
        <v>0</v>
      </c>
      <c r="H144" s="81">
        <v>0</v>
      </c>
      <c r="I144" s="81">
        <v>0</v>
      </c>
      <c r="J144" s="81">
        <v>0</v>
      </c>
      <c r="K144" s="81">
        <v>0</v>
      </c>
      <c r="L144" s="81">
        <v>0</v>
      </c>
      <c r="M144" s="81">
        <v>0</v>
      </c>
      <c r="N144" s="81">
        <v>0</v>
      </c>
      <c r="O144" s="81">
        <v>0</v>
      </c>
      <c r="P144" s="81">
        <v>0</v>
      </c>
      <c r="Q144" s="81">
        <v>0</v>
      </c>
      <c r="R144" s="81">
        <v>0</v>
      </c>
      <c r="S144" s="81">
        <v>0</v>
      </c>
      <c r="T144" s="81">
        <v>0</v>
      </c>
      <c r="U144" s="81">
        <v>0</v>
      </c>
      <c r="V144" s="81">
        <v>0</v>
      </c>
      <c r="W144" s="81">
        <v>0</v>
      </c>
      <c r="X144" s="81">
        <v>0</v>
      </c>
      <c r="Y144" s="81">
        <v>0</v>
      </c>
      <c r="Z144" s="81">
        <v>0</v>
      </c>
      <c r="AA144" s="81">
        <v>0</v>
      </c>
      <c r="AB144" s="81">
        <v>0</v>
      </c>
      <c r="AC144" s="81">
        <v>0</v>
      </c>
      <c r="AD144" s="81">
        <v>0</v>
      </c>
      <c r="AE144" s="81">
        <v>0</v>
      </c>
    </row>
    <row r="145" spans="2:31" x14ac:dyDescent="0.35">
      <c r="B145"/>
      <c r="C145"/>
      <c r="D145"/>
      <c r="E145"/>
    </row>
    <row r="146" spans="2:31" x14ac:dyDescent="0.35">
      <c r="B146" t="s">
        <v>340</v>
      </c>
      <c r="C146" s="7" t="s">
        <v>4</v>
      </c>
      <c r="D146" s="75" t="e">
        <f ca="1">SUM(INDIRECT(CONCATENATE("F",ROW(F146),":",$D$95,ROW(F146))))</f>
        <v>#N/A</v>
      </c>
      <c r="E146" s="75" t="e" cm="1">
        <f t="array" aca="1" ref="E146" ca="1">INDIRECT(CONCATENATE($D$95,ROW(F146)))</f>
        <v>#N/A</v>
      </c>
      <c r="F146" s="86" t="e" cm="1">
        <f t="array" ref="F146:AE146">F$141:AE$141*F105:AE105</f>
        <v>#N/A</v>
      </c>
      <c r="G146" s="87" t="e">
        <v>#N/A</v>
      </c>
      <c r="H146" s="87" t="e">
        <v>#N/A</v>
      </c>
      <c r="I146" s="87" t="e">
        <v>#N/A</v>
      </c>
      <c r="J146" s="87" t="e">
        <v>#N/A</v>
      </c>
      <c r="K146" s="87" t="e">
        <v>#N/A</v>
      </c>
      <c r="L146" s="87" t="e">
        <v>#N/A</v>
      </c>
      <c r="M146" s="87" t="e">
        <v>#N/A</v>
      </c>
      <c r="N146" s="87" t="e">
        <v>#N/A</v>
      </c>
      <c r="O146" s="87" t="e">
        <v>#N/A</v>
      </c>
      <c r="P146" s="87" t="e">
        <v>#N/A</v>
      </c>
      <c r="Q146" s="87" t="e">
        <v>#N/A</v>
      </c>
      <c r="R146" s="87" t="e">
        <v>#N/A</v>
      </c>
      <c r="S146" s="87" t="e">
        <v>#N/A</v>
      </c>
      <c r="T146" s="87" t="e">
        <v>#N/A</v>
      </c>
      <c r="U146" s="87" t="e">
        <v>#N/A</v>
      </c>
      <c r="V146" s="87" t="e">
        <v>#N/A</v>
      </c>
      <c r="W146" s="87" t="e">
        <v>#N/A</v>
      </c>
      <c r="X146" s="87" t="e">
        <v>#N/A</v>
      </c>
      <c r="Y146" s="87" t="e">
        <v>#N/A</v>
      </c>
      <c r="Z146" s="87" t="e">
        <v>#N/A</v>
      </c>
      <c r="AA146" s="87" t="e">
        <v>#N/A</v>
      </c>
      <c r="AB146" s="87" t="e">
        <v>#N/A</v>
      </c>
      <c r="AC146" s="87" t="e">
        <v>#N/A</v>
      </c>
      <c r="AD146" s="87" t="e">
        <v>#N/A</v>
      </c>
      <c r="AE146" s="87" t="e">
        <v>#N/A</v>
      </c>
    </row>
    <row r="147" spans="2:31" x14ac:dyDescent="0.35">
      <c r="B147" t="s">
        <v>128</v>
      </c>
      <c r="C147" s="7" t="s">
        <v>4</v>
      </c>
      <c r="D147" s="75" t="e">
        <f ca="1">SUM(INDIRECT(CONCATENATE("F",ROW(F147),":",$D$95,ROW(F147))))</f>
        <v>#N/A</v>
      </c>
      <c r="E147" s="75" t="e" cm="1">
        <f t="array" aca="1" ref="E147" ca="1">INDIRECT(CONCATENATE($D$95,ROW(F147)))</f>
        <v>#N/A</v>
      </c>
      <c r="F147" s="86" t="e" cm="1">
        <f t="array" ref="F147:AE147">F$142:AE$142*F106:AE106</f>
        <v>#N/A</v>
      </c>
      <c r="G147" s="87" t="e">
        <v>#N/A</v>
      </c>
      <c r="H147" s="87" t="e">
        <v>#N/A</v>
      </c>
      <c r="I147" s="87" t="e">
        <v>#N/A</v>
      </c>
      <c r="J147" s="87" t="e">
        <v>#N/A</v>
      </c>
      <c r="K147" s="87" t="e">
        <v>#N/A</v>
      </c>
      <c r="L147" s="87" t="e">
        <v>#N/A</v>
      </c>
      <c r="M147" s="87" t="e">
        <v>#N/A</v>
      </c>
      <c r="N147" s="87" t="e">
        <v>#N/A</v>
      </c>
      <c r="O147" s="87" t="e">
        <v>#N/A</v>
      </c>
      <c r="P147" s="87" t="e">
        <v>#N/A</v>
      </c>
      <c r="Q147" s="87" t="e">
        <v>#N/A</v>
      </c>
      <c r="R147" s="87" t="e">
        <v>#N/A</v>
      </c>
      <c r="S147" s="87" t="e">
        <v>#N/A</v>
      </c>
      <c r="T147" s="87" t="e">
        <v>#N/A</v>
      </c>
      <c r="U147" s="87" t="e">
        <v>#N/A</v>
      </c>
      <c r="V147" s="87" t="e">
        <v>#N/A</v>
      </c>
      <c r="W147" s="87" t="e">
        <v>#N/A</v>
      </c>
      <c r="X147" s="87" t="e">
        <v>#N/A</v>
      </c>
      <c r="Y147" s="87" t="e">
        <v>#N/A</v>
      </c>
      <c r="Z147" s="87" t="e">
        <v>#N/A</v>
      </c>
      <c r="AA147" s="87" t="e">
        <v>#N/A</v>
      </c>
      <c r="AB147" s="87" t="e">
        <v>#N/A</v>
      </c>
      <c r="AC147" s="87" t="e">
        <v>#N/A</v>
      </c>
      <c r="AD147" s="87" t="e">
        <v>#N/A</v>
      </c>
      <c r="AE147" s="87" t="e">
        <v>#N/A</v>
      </c>
    </row>
    <row r="148" spans="2:31" x14ac:dyDescent="0.35">
      <c r="B148" t="s">
        <v>129</v>
      </c>
      <c r="C148" s="7" t="s">
        <v>4</v>
      </c>
      <c r="D148" s="75">
        <f ca="1">SUM(INDIRECT(CONCATENATE("F",ROW(F148),":",$D$95,ROW(F148))))</f>
        <v>0</v>
      </c>
      <c r="E148" s="75" cm="1">
        <f t="array" aca="1" ref="E148" ca="1">INDIRECT(CONCATENATE($D$95,ROW(F148)))</f>
        <v>0</v>
      </c>
      <c r="F148" s="86" cm="1">
        <f t="array" ref="F148:AE148">F$143:AE$143*F107:AE107</f>
        <v>0</v>
      </c>
      <c r="G148" s="87">
        <v>0</v>
      </c>
      <c r="H148" s="87">
        <v>0</v>
      </c>
      <c r="I148" s="87">
        <v>0</v>
      </c>
      <c r="J148" s="87">
        <v>0</v>
      </c>
      <c r="K148" s="87">
        <v>0</v>
      </c>
      <c r="L148" s="87">
        <v>0</v>
      </c>
      <c r="M148" s="87">
        <v>0</v>
      </c>
      <c r="N148" s="87">
        <v>0</v>
      </c>
      <c r="O148" s="87">
        <v>0</v>
      </c>
      <c r="P148" s="87">
        <v>0</v>
      </c>
      <c r="Q148" s="87">
        <v>0</v>
      </c>
      <c r="R148" s="87">
        <v>0</v>
      </c>
      <c r="S148" s="87">
        <v>0</v>
      </c>
      <c r="T148" s="87">
        <v>0</v>
      </c>
      <c r="U148" s="87">
        <v>0</v>
      </c>
      <c r="V148" s="87">
        <v>0</v>
      </c>
      <c r="W148" s="87">
        <v>0</v>
      </c>
      <c r="X148" s="87">
        <v>0</v>
      </c>
      <c r="Y148" s="87">
        <v>0</v>
      </c>
      <c r="Z148" s="87">
        <v>0</v>
      </c>
      <c r="AA148" s="87">
        <v>0</v>
      </c>
      <c r="AB148" s="87">
        <v>0</v>
      </c>
      <c r="AC148" s="87">
        <v>0</v>
      </c>
      <c r="AD148" s="87">
        <v>0</v>
      </c>
      <c r="AE148" s="87">
        <v>0</v>
      </c>
    </row>
    <row r="149" spans="2:31" x14ac:dyDescent="0.35">
      <c r="B149" t="s">
        <v>130</v>
      </c>
      <c r="C149" s="7" t="s">
        <v>4</v>
      </c>
      <c r="D149" s="75" t="e">
        <f ca="1">SUM(INDIRECT(CONCATENATE("F",ROW(F149),":",$D$95,ROW(F149))))</f>
        <v>#N/A</v>
      </c>
      <c r="E149" s="75" t="e" cm="1">
        <f t="array" aca="1" ref="E149" ca="1">INDIRECT(CONCATENATE($D$95,ROW(F149)))</f>
        <v>#N/A</v>
      </c>
      <c r="F149" s="86" t="e" cm="1">
        <f t="array" ref="F149:AE149">F146:AE146+F147:AE147+F148:AE148</f>
        <v>#N/A</v>
      </c>
      <c r="G149" s="87" t="e">
        <v>#N/A</v>
      </c>
      <c r="H149" s="87" t="e">
        <v>#N/A</v>
      </c>
      <c r="I149" s="87" t="e">
        <v>#N/A</v>
      </c>
      <c r="J149" s="87" t="e">
        <v>#N/A</v>
      </c>
      <c r="K149" s="87" t="e">
        <v>#N/A</v>
      </c>
      <c r="L149" s="87" t="e">
        <v>#N/A</v>
      </c>
      <c r="M149" s="87" t="e">
        <v>#N/A</v>
      </c>
      <c r="N149" s="87" t="e">
        <v>#N/A</v>
      </c>
      <c r="O149" s="87" t="e">
        <v>#N/A</v>
      </c>
      <c r="P149" s="87" t="e">
        <v>#N/A</v>
      </c>
      <c r="Q149" s="87" t="e">
        <v>#N/A</v>
      </c>
      <c r="R149" s="87" t="e">
        <v>#N/A</v>
      </c>
      <c r="S149" s="87" t="e">
        <v>#N/A</v>
      </c>
      <c r="T149" s="87" t="e">
        <v>#N/A</v>
      </c>
      <c r="U149" s="87" t="e">
        <v>#N/A</v>
      </c>
      <c r="V149" s="87" t="e">
        <v>#N/A</v>
      </c>
      <c r="W149" s="87" t="e">
        <v>#N/A</v>
      </c>
      <c r="X149" s="87" t="e">
        <v>#N/A</v>
      </c>
      <c r="Y149" s="87" t="e">
        <v>#N/A</v>
      </c>
      <c r="Z149" s="87" t="e">
        <v>#N/A</v>
      </c>
      <c r="AA149" s="87" t="e">
        <v>#N/A</v>
      </c>
      <c r="AB149" s="87" t="e">
        <v>#N/A</v>
      </c>
      <c r="AC149" s="87" t="e">
        <v>#N/A</v>
      </c>
      <c r="AD149" s="87" t="e">
        <v>#N/A</v>
      </c>
      <c r="AE149" s="87" t="e">
        <v>#N/A</v>
      </c>
    </row>
    <row r="150" spans="2:31" x14ac:dyDescent="0.35">
      <c r="B150"/>
      <c r="E150" s="21"/>
      <c r="F150" s="5"/>
    </row>
    <row r="151" spans="2:31" x14ac:dyDescent="0.35">
      <c r="B151" t="s">
        <v>131</v>
      </c>
      <c r="C151" s="7" t="s">
        <v>4</v>
      </c>
      <c r="D151" s="75" t="e">
        <f t="shared" ref="D151:D158" ca="1" si="3">SUM(INDIRECT(CONCATENATE("F",ROW(F151),":",$D$95,ROW(F151))))</f>
        <v>#N/A</v>
      </c>
      <c r="E151" s="75" t="e" cm="1">
        <f t="array" aca="1" ref="E151" ca="1">INDIRECT(CONCATENATE($D$95,ROW(F151)))</f>
        <v>#N/A</v>
      </c>
      <c r="F151" s="86" t="e" cm="1">
        <f t="array" ref="F151:AE151">F$141:AE$141*F110:AE110</f>
        <v>#N/A</v>
      </c>
      <c r="G151" s="87" t="e">
        <v>#N/A</v>
      </c>
      <c r="H151" s="87" t="e">
        <v>#N/A</v>
      </c>
      <c r="I151" s="87" t="e">
        <v>#N/A</v>
      </c>
      <c r="J151" s="87" t="e">
        <v>#N/A</v>
      </c>
      <c r="K151" s="87" t="e">
        <v>#N/A</v>
      </c>
      <c r="L151" s="87" t="e">
        <v>#N/A</v>
      </c>
      <c r="M151" s="87" t="e">
        <v>#N/A</v>
      </c>
      <c r="N151" s="87" t="e">
        <v>#N/A</v>
      </c>
      <c r="O151" s="87" t="e">
        <v>#N/A</v>
      </c>
      <c r="P151" s="87" t="e">
        <v>#N/A</v>
      </c>
      <c r="Q151" s="87" t="e">
        <v>#N/A</v>
      </c>
      <c r="R151" s="87" t="e">
        <v>#N/A</v>
      </c>
      <c r="S151" s="87" t="e">
        <v>#N/A</v>
      </c>
      <c r="T151" s="87" t="e">
        <v>#N/A</v>
      </c>
      <c r="U151" s="87" t="e">
        <v>#N/A</v>
      </c>
      <c r="V151" s="87" t="e">
        <v>#N/A</v>
      </c>
      <c r="W151" s="87" t="e">
        <v>#N/A</v>
      </c>
      <c r="X151" s="87" t="e">
        <v>#N/A</v>
      </c>
      <c r="Y151" s="87" t="e">
        <v>#N/A</v>
      </c>
      <c r="Z151" s="87" t="e">
        <v>#N/A</v>
      </c>
      <c r="AA151" s="87" t="e">
        <v>#N/A</v>
      </c>
      <c r="AB151" s="87" t="e">
        <v>#N/A</v>
      </c>
      <c r="AC151" s="87" t="e">
        <v>#N/A</v>
      </c>
      <c r="AD151" s="87" t="e">
        <v>#N/A</v>
      </c>
      <c r="AE151" s="87" t="e">
        <v>#N/A</v>
      </c>
    </row>
    <row r="152" spans="2:31" x14ac:dyDescent="0.35">
      <c r="B152" t="s">
        <v>132</v>
      </c>
      <c r="C152" s="7" t="s">
        <v>4</v>
      </c>
      <c r="D152" s="75" t="e">
        <f t="shared" ca="1" si="3"/>
        <v>#N/A</v>
      </c>
      <c r="E152" s="75" t="e" cm="1">
        <f t="array" aca="1" ref="E152" ca="1">INDIRECT(CONCATENATE($D$95,ROW(F152)))</f>
        <v>#N/A</v>
      </c>
      <c r="F152" s="86" t="e" cm="1">
        <f t="array" ref="F152:AE152">F$141:AE$141*F111:AE111</f>
        <v>#N/A</v>
      </c>
      <c r="G152" s="87" t="e">
        <v>#N/A</v>
      </c>
      <c r="H152" s="87" t="e">
        <v>#N/A</v>
      </c>
      <c r="I152" s="87" t="e">
        <v>#N/A</v>
      </c>
      <c r="J152" s="87" t="e">
        <v>#N/A</v>
      </c>
      <c r="K152" s="87" t="e">
        <v>#N/A</v>
      </c>
      <c r="L152" s="87" t="e">
        <v>#N/A</v>
      </c>
      <c r="M152" s="87" t="e">
        <v>#N/A</v>
      </c>
      <c r="N152" s="87" t="e">
        <v>#N/A</v>
      </c>
      <c r="O152" s="87" t="e">
        <v>#N/A</v>
      </c>
      <c r="P152" s="87" t="e">
        <v>#N/A</v>
      </c>
      <c r="Q152" s="87" t="e">
        <v>#N/A</v>
      </c>
      <c r="R152" s="87" t="e">
        <v>#N/A</v>
      </c>
      <c r="S152" s="87" t="e">
        <v>#N/A</v>
      </c>
      <c r="T152" s="87" t="e">
        <v>#N/A</v>
      </c>
      <c r="U152" s="87" t="e">
        <v>#N/A</v>
      </c>
      <c r="V152" s="87" t="e">
        <v>#N/A</v>
      </c>
      <c r="W152" s="87" t="e">
        <v>#N/A</v>
      </c>
      <c r="X152" s="87" t="e">
        <v>#N/A</v>
      </c>
      <c r="Y152" s="87" t="e">
        <v>#N/A</v>
      </c>
      <c r="Z152" s="87" t="e">
        <v>#N/A</v>
      </c>
      <c r="AA152" s="87" t="e">
        <v>#N/A</v>
      </c>
      <c r="AB152" s="87" t="e">
        <v>#N/A</v>
      </c>
      <c r="AC152" s="87" t="e">
        <v>#N/A</v>
      </c>
      <c r="AD152" s="87" t="e">
        <v>#N/A</v>
      </c>
      <c r="AE152" s="87" t="e">
        <v>#N/A</v>
      </c>
    </row>
    <row r="153" spans="2:31" x14ac:dyDescent="0.35">
      <c r="B153" t="s">
        <v>133</v>
      </c>
      <c r="C153" s="7" t="s">
        <v>4</v>
      </c>
      <c r="D153" s="75" t="e">
        <f t="shared" ca="1" si="3"/>
        <v>#N/A</v>
      </c>
      <c r="E153" s="75" t="e" cm="1">
        <f t="array" aca="1" ref="E153" ca="1">INDIRECT(CONCATENATE($D$95,ROW(F153)))</f>
        <v>#N/A</v>
      </c>
      <c r="F153" s="86" t="e" cm="1">
        <f t="array" ref="F153:AE153">F$142:AE$142*F112:AE112</f>
        <v>#N/A</v>
      </c>
      <c r="G153" s="87" t="e">
        <v>#N/A</v>
      </c>
      <c r="H153" s="87" t="e">
        <v>#N/A</v>
      </c>
      <c r="I153" s="87" t="e">
        <v>#N/A</v>
      </c>
      <c r="J153" s="87" t="e">
        <v>#N/A</v>
      </c>
      <c r="K153" s="87" t="e">
        <v>#N/A</v>
      </c>
      <c r="L153" s="87" t="e">
        <v>#N/A</v>
      </c>
      <c r="M153" s="87" t="e">
        <v>#N/A</v>
      </c>
      <c r="N153" s="87" t="e">
        <v>#N/A</v>
      </c>
      <c r="O153" s="87" t="e">
        <v>#N/A</v>
      </c>
      <c r="P153" s="87" t="e">
        <v>#N/A</v>
      </c>
      <c r="Q153" s="87" t="e">
        <v>#N/A</v>
      </c>
      <c r="R153" s="87" t="e">
        <v>#N/A</v>
      </c>
      <c r="S153" s="87" t="e">
        <v>#N/A</v>
      </c>
      <c r="T153" s="87" t="e">
        <v>#N/A</v>
      </c>
      <c r="U153" s="87" t="e">
        <v>#N/A</v>
      </c>
      <c r="V153" s="87" t="e">
        <v>#N/A</v>
      </c>
      <c r="W153" s="87" t="e">
        <v>#N/A</v>
      </c>
      <c r="X153" s="87" t="e">
        <v>#N/A</v>
      </c>
      <c r="Y153" s="87" t="e">
        <v>#N/A</v>
      </c>
      <c r="Z153" s="87" t="e">
        <v>#N/A</v>
      </c>
      <c r="AA153" s="87" t="e">
        <v>#N/A</v>
      </c>
      <c r="AB153" s="87" t="e">
        <v>#N/A</v>
      </c>
      <c r="AC153" s="87" t="e">
        <v>#N/A</v>
      </c>
      <c r="AD153" s="87" t="e">
        <v>#N/A</v>
      </c>
      <c r="AE153" s="87" t="e">
        <v>#N/A</v>
      </c>
    </row>
    <row r="154" spans="2:31" x14ac:dyDescent="0.35">
      <c r="B154" t="s">
        <v>134</v>
      </c>
      <c r="C154" s="7" t="s">
        <v>4</v>
      </c>
      <c r="D154" s="75" t="e">
        <f t="shared" ca="1" si="3"/>
        <v>#N/A</v>
      </c>
      <c r="E154" s="75" t="e" cm="1">
        <f t="array" aca="1" ref="E154" ca="1">INDIRECT(CONCATENATE($D$95,ROW(F154)))</f>
        <v>#N/A</v>
      </c>
      <c r="F154" s="86" t="e" cm="1">
        <f t="array" ref="F154:AE154">F$142:AE$142*F113:AE113</f>
        <v>#N/A</v>
      </c>
      <c r="G154" s="87" t="e">
        <v>#N/A</v>
      </c>
      <c r="H154" s="87" t="e">
        <v>#N/A</v>
      </c>
      <c r="I154" s="87" t="e">
        <v>#N/A</v>
      </c>
      <c r="J154" s="87" t="e">
        <v>#N/A</v>
      </c>
      <c r="K154" s="87" t="e">
        <v>#N/A</v>
      </c>
      <c r="L154" s="87" t="e">
        <v>#N/A</v>
      </c>
      <c r="M154" s="87" t="e">
        <v>#N/A</v>
      </c>
      <c r="N154" s="87" t="e">
        <v>#N/A</v>
      </c>
      <c r="O154" s="87" t="e">
        <v>#N/A</v>
      </c>
      <c r="P154" s="87" t="e">
        <v>#N/A</v>
      </c>
      <c r="Q154" s="87" t="e">
        <v>#N/A</v>
      </c>
      <c r="R154" s="87" t="e">
        <v>#N/A</v>
      </c>
      <c r="S154" s="87" t="e">
        <v>#N/A</v>
      </c>
      <c r="T154" s="87" t="e">
        <v>#N/A</v>
      </c>
      <c r="U154" s="87" t="e">
        <v>#N/A</v>
      </c>
      <c r="V154" s="87" t="e">
        <v>#N/A</v>
      </c>
      <c r="W154" s="87" t="e">
        <v>#N/A</v>
      </c>
      <c r="X154" s="87" t="e">
        <v>#N/A</v>
      </c>
      <c r="Y154" s="87" t="e">
        <v>#N/A</v>
      </c>
      <c r="Z154" s="87" t="e">
        <v>#N/A</v>
      </c>
      <c r="AA154" s="87" t="e">
        <v>#N/A</v>
      </c>
      <c r="AB154" s="87" t="e">
        <v>#N/A</v>
      </c>
      <c r="AC154" s="87" t="e">
        <v>#N/A</v>
      </c>
      <c r="AD154" s="87" t="e">
        <v>#N/A</v>
      </c>
      <c r="AE154" s="87" t="e">
        <v>#N/A</v>
      </c>
    </row>
    <row r="155" spans="2:31" x14ac:dyDescent="0.35">
      <c r="B155" t="s">
        <v>377</v>
      </c>
      <c r="C155" s="7" t="s">
        <v>4</v>
      </c>
      <c r="D155" s="75" t="e">
        <f t="shared" ca="1" si="3"/>
        <v>#N/A</v>
      </c>
      <c r="E155" s="75" t="e" cm="1">
        <f t="array" aca="1" ref="E155" ca="1">INDIRECT(CONCATENATE($D$95,ROW(F155)))</f>
        <v>#N/A</v>
      </c>
      <c r="F155" s="86" t="e" cm="1">
        <f t="array" ref="F155:AE155">F$143:AE$143*F114:AE114</f>
        <v>#N/A</v>
      </c>
      <c r="G155" s="87" t="e">
        <v>#N/A</v>
      </c>
      <c r="H155" s="87" t="e">
        <v>#N/A</v>
      </c>
      <c r="I155" s="87" t="e">
        <v>#N/A</v>
      </c>
      <c r="J155" s="87" t="e">
        <v>#N/A</v>
      </c>
      <c r="K155" s="87" t="e">
        <v>#N/A</v>
      </c>
      <c r="L155" s="87" t="e">
        <v>#N/A</v>
      </c>
      <c r="M155" s="87" t="e">
        <v>#N/A</v>
      </c>
      <c r="N155" s="87" t="e">
        <v>#N/A</v>
      </c>
      <c r="O155" s="87" t="e">
        <v>#N/A</v>
      </c>
      <c r="P155" s="87" t="e">
        <v>#N/A</v>
      </c>
      <c r="Q155" s="87" t="e">
        <v>#N/A</v>
      </c>
      <c r="R155" s="87" t="e">
        <v>#N/A</v>
      </c>
      <c r="S155" s="87" t="e">
        <v>#N/A</v>
      </c>
      <c r="T155" s="87" t="e">
        <v>#N/A</v>
      </c>
      <c r="U155" s="87" t="e">
        <v>#N/A</v>
      </c>
      <c r="V155" s="87" t="e">
        <v>#N/A</v>
      </c>
      <c r="W155" s="87" t="e">
        <v>#N/A</v>
      </c>
      <c r="X155" s="87" t="e">
        <v>#N/A</v>
      </c>
      <c r="Y155" s="87" t="e">
        <v>#N/A</v>
      </c>
      <c r="Z155" s="87" t="e">
        <v>#N/A</v>
      </c>
      <c r="AA155" s="87" t="e">
        <v>#N/A</v>
      </c>
      <c r="AB155" s="87" t="e">
        <v>#N/A</v>
      </c>
      <c r="AC155" s="87" t="e">
        <v>#N/A</v>
      </c>
      <c r="AD155" s="87" t="e">
        <v>#N/A</v>
      </c>
      <c r="AE155" s="87" t="e">
        <v>#N/A</v>
      </c>
    </row>
    <row r="156" spans="2:31" x14ac:dyDescent="0.35">
      <c r="B156" t="s">
        <v>378</v>
      </c>
      <c r="C156" s="7" t="s">
        <v>4</v>
      </c>
      <c r="D156" s="75" t="e">
        <f t="shared" ca="1" si="3"/>
        <v>#N/A</v>
      </c>
      <c r="E156" s="75" t="e" cm="1">
        <f t="array" aca="1" ref="E156" ca="1">INDIRECT(CONCATENATE($D$95,ROW(F156)))</f>
        <v>#N/A</v>
      </c>
      <c r="F156" s="86" t="e" cm="1">
        <f t="array" ref="F156:AE156">F$143:AE$143*F115:AE115</f>
        <v>#N/A</v>
      </c>
      <c r="G156" s="87" t="e">
        <v>#N/A</v>
      </c>
      <c r="H156" s="87" t="e">
        <v>#N/A</v>
      </c>
      <c r="I156" s="87" t="e">
        <v>#N/A</v>
      </c>
      <c r="J156" s="87" t="e">
        <v>#N/A</v>
      </c>
      <c r="K156" s="87" t="e">
        <v>#N/A</v>
      </c>
      <c r="L156" s="87" t="e">
        <v>#N/A</v>
      </c>
      <c r="M156" s="87" t="e">
        <v>#N/A</v>
      </c>
      <c r="N156" s="87" t="e">
        <v>#N/A</v>
      </c>
      <c r="O156" s="87" t="e">
        <v>#N/A</v>
      </c>
      <c r="P156" s="87" t="e">
        <v>#N/A</v>
      </c>
      <c r="Q156" s="87" t="e">
        <v>#N/A</v>
      </c>
      <c r="R156" s="87" t="e">
        <v>#N/A</v>
      </c>
      <c r="S156" s="87" t="e">
        <v>#N/A</v>
      </c>
      <c r="T156" s="87" t="e">
        <v>#N/A</v>
      </c>
      <c r="U156" s="87" t="e">
        <v>#N/A</v>
      </c>
      <c r="V156" s="87" t="e">
        <v>#N/A</v>
      </c>
      <c r="W156" s="87" t="e">
        <v>#N/A</v>
      </c>
      <c r="X156" s="87" t="e">
        <v>#N/A</v>
      </c>
      <c r="Y156" s="87" t="e">
        <v>#N/A</v>
      </c>
      <c r="Z156" s="87" t="e">
        <v>#N/A</v>
      </c>
      <c r="AA156" s="87" t="e">
        <v>#N/A</v>
      </c>
      <c r="AB156" s="87" t="e">
        <v>#N/A</v>
      </c>
      <c r="AC156" s="87" t="e">
        <v>#N/A</v>
      </c>
      <c r="AD156" s="87" t="e">
        <v>#N/A</v>
      </c>
      <c r="AE156" s="87" t="e">
        <v>#N/A</v>
      </c>
    </row>
    <row r="157" spans="2:31" x14ac:dyDescent="0.35">
      <c r="B157" t="s">
        <v>135</v>
      </c>
      <c r="C157" s="7" t="s">
        <v>4</v>
      </c>
      <c r="D157" s="75" t="e">
        <f t="shared" ca="1" si="3"/>
        <v>#N/A</v>
      </c>
      <c r="E157" s="75" t="e" cm="1">
        <f t="array" aca="1" ref="E157" ca="1">INDIRECT(CONCATENATE($D$95,ROW(F157)))</f>
        <v>#N/A</v>
      </c>
      <c r="F157" s="86" t="e" cm="1">
        <f t="array" ref="F157:AE157">F151:AE151+F153:AE153+F155:AE155</f>
        <v>#N/A</v>
      </c>
      <c r="G157" s="87" t="e">
        <v>#N/A</v>
      </c>
      <c r="H157" s="87" t="e">
        <v>#N/A</v>
      </c>
      <c r="I157" s="87" t="e">
        <v>#N/A</v>
      </c>
      <c r="J157" s="87" t="e">
        <v>#N/A</v>
      </c>
      <c r="K157" s="87" t="e">
        <v>#N/A</v>
      </c>
      <c r="L157" s="87" t="e">
        <v>#N/A</v>
      </c>
      <c r="M157" s="87" t="e">
        <v>#N/A</v>
      </c>
      <c r="N157" s="87" t="e">
        <v>#N/A</v>
      </c>
      <c r="O157" s="87" t="e">
        <v>#N/A</v>
      </c>
      <c r="P157" s="87" t="e">
        <v>#N/A</v>
      </c>
      <c r="Q157" s="87" t="e">
        <v>#N/A</v>
      </c>
      <c r="R157" s="87" t="e">
        <v>#N/A</v>
      </c>
      <c r="S157" s="87" t="e">
        <v>#N/A</v>
      </c>
      <c r="T157" s="87" t="e">
        <v>#N/A</v>
      </c>
      <c r="U157" s="87" t="e">
        <v>#N/A</v>
      </c>
      <c r="V157" s="87" t="e">
        <v>#N/A</v>
      </c>
      <c r="W157" s="87" t="e">
        <v>#N/A</v>
      </c>
      <c r="X157" s="87" t="e">
        <v>#N/A</v>
      </c>
      <c r="Y157" s="87" t="e">
        <v>#N/A</v>
      </c>
      <c r="Z157" s="87" t="e">
        <v>#N/A</v>
      </c>
      <c r="AA157" s="87" t="e">
        <v>#N/A</v>
      </c>
      <c r="AB157" s="87" t="e">
        <v>#N/A</v>
      </c>
      <c r="AC157" s="87" t="e">
        <v>#N/A</v>
      </c>
      <c r="AD157" s="87" t="e">
        <v>#N/A</v>
      </c>
      <c r="AE157" s="87" t="e">
        <v>#N/A</v>
      </c>
    </row>
    <row r="158" spans="2:31" x14ac:dyDescent="0.35">
      <c r="B158" t="s">
        <v>136</v>
      </c>
      <c r="C158" s="7" t="s">
        <v>4</v>
      </c>
      <c r="D158" s="75" t="e">
        <f t="shared" ca="1" si="3"/>
        <v>#N/A</v>
      </c>
      <c r="E158" s="75" t="e" cm="1">
        <f t="array" aca="1" ref="E158" ca="1">INDIRECT(CONCATENATE($D$95,ROW(F158)))</f>
        <v>#N/A</v>
      </c>
      <c r="F158" s="86" t="e" cm="1">
        <f t="array" ref="F158:AE158">F152:AE152+F154:AE154+F156:AE156</f>
        <v>#N/A</v>
      </c>
      <c r="G158" s="87" t="e">
        <v>#N/A</v>
      </c>
      <c r="H158" s="87" t="e">
        <v>#N/A</v>
      </c>
      <c r="I158" s="87" t="e">
        <v>#N/A</v>
      </c>
      <c r="J158" s="87" t="e">
        <v>#N/A</v>
      </c>
      <c r="K158" s="87" t="e">
        <v>#N/A</v>
      </c>
      <c r="L158" s="87" t="e">
        <v>#N/A</v>
      </c>
      <c r="M158" s="87" t="e">
        <v>#N/A</v>
      </c>
      <c r="N158" s="87" t="e">
        <v>#N/A</v>
      </c>
      <c r="O158" s="87" t="e">
        <v>#N/A</v>
      </c>
      <c r="P158" s="87" t="e">
        <v>#N/A</v>
      </c>
      <c r="Q158" s="87" t="e">
        <v>#N/A</v>
      </c>
      <c r="R158" s="87" t="e">
        <v>#N/A</v>
      </c>
      <c r="S158" s="87" t="e">
        <v>#N/A</v>
      </c>
      <c r="T158" s="87" t="e">
        <v>#N/A</v>
      </c>
      <c r="U158" s="87" t="e">
        <v>#N/A</v>
      </c>
      <c r="V158" s="87" t="e">
        <v>#N/A</v>
      </c>
      <c r="W158" s="87" t="e">
        <v>#N/A</v>
      </c>
      <c r="X158" s="87" t="e">
        <v>#N/A</v>
      </c>
      <c r="Y158" s="87" t="e">
        <v>#N/A</v>
      </c>
      <c r="Z158" s="87" t="e">
        <v>#N/A</v>
      </c>
      <c r="AA158" s="87" t="e">
        <v>#N/A</v>
      </c>
      <c r="AB158" s="87" t="e">
        <v>#N/A</v>
      </c>
      <c r="AC158" s="87" t="e">
        <v>#N/A</v>
      </c>
      <c r="AD158" s="87" t="e">
        <v>#N/A</v>
      </c>
      <c r="AE158" s="87" t="e">
        <v>#N/A</v>
      </c>
    </row>
    <row r="159" spans="2:31" x14ac:dyDescent="0.35">
      <c r="B159"/>
      <c r="E159" s="21"/>
      <c r="F159" s="5"/>
    </row>
    <row r="160" spans="2:31" x14ac:dyDescent="0.35">
      <c r="B160" s="1" t="s">
        <v>137</v>
      </c>
      <c r="E160" s="21"/>
      <c r="F160" s="5"/>
    </row>
    <row r="161" spans="2:31" x14ac:dyDescent="0.35">
      <c r="B161" t="s">
        <v>138</v>
      </c>
      <c r="C161" s="7" t="s">
        <v>4</v>
      </c>
      <c r="D161" s="75" t="e">
        <f ca="1">SUM(INDIRECT(CONCATENATE("F",ROW(F161),":",$D$95,ROW(F161))))</f>
        <v>#N/A</v>
      </c>
      <c r="E161" s="75" t="e" cm="1">
        <f t="array" aca="1" ref="E161" ca="1">INDIRECT(CONCATENATE($D$95,ROW(F161)))</f>
        <v>#N/A</v>
      </c>
      <c r="F161" s="86" t="e" cm="1">
        <f t="array" ref="F161:AE161">F144:AE144*F129:AE129</f>
        <v>#N/A</v>
      </c>
      <c r="G161" s="87" t="e">
        <v>#N/A</v>
      </c>
      <c r="H161" s="87" t="e">
        <v>#N/A</v>
      </c>
      <c r="I161" s="87" t="e">
        <v>#N/A</v>
      </c>
      <c r="J161" s="87" t="e">
        <v>#N/A</v>
      </c>
      <c r="K161" s="87" t="e">
        <v>#N/A</v>
      </c>
      <c r="L161" s="87" t="e">
        <v>#N/A</v>
      </c>
      <c r="M161" s="87" t="e">
        <v>#N/A</v>
      </c>
      <c r="N161" s="87" t="e">
        <v>#N/A</v>
      </c>
      <c r="O161" s="87" t="e">
        <v>#N/A</v>
      </c>
      <c r="P161" s="87" t="e">
        <v>#N/A</v>
      </c>
      <c r="Q161" s="87" t="e">
        <v>#N/A</v>
      </c>
      <c r="R161" s="87" t="e">
        <v>#N/A</v>
      </c>
      <c r="S161" s="87" t="e">
        <v>#N/A</v>
      </c>
      <c r="T161" s="87" t="e">
        <v>#N/A</v>
      </c>
      <c r="U161" s="87" t="e">
        <v>#N/A</v>
      </c>
      <c r="V161" s="87" t="e">
        <v>#N/A</v>
      </c>
      <c r="W161" s="87" t="e">
        <v>#N/A</v>
      </c>
      <c r="X161" s="87" t="e">
        <v>#N/A</v>
      </c>
      <c r="Y161" s="87" t="e">
        <v>#N/A</v>
      </c>
      <c r="Z161" s="87" t="e">
        <v>#N/A</v>
      </c>
      <c r="AA161" s="87" t="e">
        <v>#N/A</v>
      </c>
      <c r="AB161" s="87" t="e">
        <v>#N/A</v>
      </c>
      <c r="AC161" s="87" t="e">
        <v>#N/A</v>
      </c>
      <c r="AD161" s="87" t="e">
        <v>#N/A</v>
      </c>
      <c r="AE161" s="87" t="e">
        <v>#N/A</v>
      </c>
    </row>
    <row r="162" spans="2:31" x14ac:dyDescent="0.35">
      <c r="B162" t="s">
        <v>139</v>
      </c>
      <c r="C162" s="7" t="s">
        <v>4</v>
      </c>
      <c r="D162" s="75" t="e">
        <f ca="1">SUM(INDIRECT(CONCATENATE("F",ROW(F162),":",$D$95,ROW(F162))))</f>
        <v>#N/A</v>
      </c>
      <c r="E162" s="75" t="e" cm="1">
        <f t="array" aca="1" ref="E162" ca="1">INDIRECT(CONCATENATE($D$95,ROW(F162)))</f>
        <v>#N/A</v>
      </c>
      <c r="F162" s="86" t="e" cm="1">
        <f t="array" ref="F162:AE162">F144:AE144*_xlfn.ANCHORARRAY(F137)</f>
        <v>#N/A</v>
      </c>
      <c r="G162" s="87" t="e">
        <v>#N/A</v>
      </c>
      <c r="H162" s="87" t="e">
        <v>#N/A</v>
      </c>
      <c r="I162" s="87" t="e">
        <v>#N/A</v>
      </c>
      <c r="J162" s="87" t="e">
        <v>#N/A</v>
      </c>
      <c r="K162" s="87" t="e">
        <v>#N/A</v>
      </c>
      <c r="L162" s="87" t="e">
        <v>#N/A</v>
      </c>
      <c r="M162" s="87" t="e">
        <v>#N/A</v>
      </c>
      <c r="N162" s="87" t="e">
        <v>#N/A</v>
      </c>
      <c r="O162" s="87" t="e">
        <v>#N/A</v>
      </c>
      <c r="P162" s="87" t="e">
        <v>#N/A</v>
      </c>
      <c r="Q162" s="87" t="e">
        <v>#N/A</v>
      </c>
      <c r="R162" s="87" t="e">
        <v>#N/A</v>
      </c>
      <c r="S162" s="87" t="e">
        <v>#N/A</v>
      </c>
      <c r="T162" s="87" t="e">
        <v>#N/A</v>
      </c>
      <c r="U162" s="87" t="e">
        <v>#N/A</v>
      </c>
      <c r="V162" s="87" t="e">
        <v>#N/A</v>
      </c>
      <c r="W162" s="87" t="e">
        <v>#N/A</v>
      </c>
      <c r="X162" s="87" t="e">
        <v>#N/A</v>
      </c>
      <c r="Y162" s="87" t="e">
        <v>#N/A</v>
      </c>
      <c r="Z162" s="87" t="e">
        <v>#N/A</v>
      </c>
      <c r="AA162" s="87" t="e">
        <v>#N/A</v>
      </c>
      <c r="AB162" s="87" t="e">
        <v>#N/A</v>
      </c>
      <c r="AC162" s="87" t="e">
        <v>#N/A</v>
      </c>
      <c r="AD162" s="87" t="e">
        <v>#N/A</v>
      </c>
      <c r="AE162" s="87" t="e">
        <v>#N/A</v>
      </c>
    </row>
    <row r="163" spans="2:31" x14ac:dyDescent="0.35">
      <c r="B163" t="s">
        <v>140</v>
      </c>
      <c r="C163" s="7" t="s">
        <v>4</v>
      </c>
      <c r="D163" s="75" t="e">
        <f ca="1">SUM(INDIRECT(CONCATENATE("F",ROW(F163),":",$D$95,ROW(F163))))</f>
        <v>#N/A</v>
      </c>
      <c r="E163" s="75" t="e" cm="1">
        <f t="array" aca="1" ref="E163" ca="1">INDIRECT(CONCATENATE($D$95,ROW(F163)))</f>
        <v>#N/A</v>
      </c>
      <c r="F163" s="86" t="e" cm="1">
        <f t="array" ref="F163:AE163">F144:AE144*_xlfn.ANCHORARRAY(F138)</f>
        <v>#N/A</v>
      </c>
      <c r="G163" s="87" t="e">
        <v>#N/A</v>
      </c>
      <c r="H163" s="87" t="e">
        <v>#N/A</v>
      </c>
      <c r="I163" s="87" t="e">
        <v>#N/A</v>
      </c>
      <c r="J163" s="87" t="e">
        <v>#N/A</v>
      </c>
      <c r="K163" s="87" t="e">
        <v>#N/A</v>
      </c>
      <c r="L163" s="87" t="e">
        <v>#N/A</v>
      </c>
      <c r="M163" s="87" t="e">
        <v>#N/A</v>
      </c>
      <c r="N163" s="87" t="e">
        <v>#N/A</v>
      </c>
      <c r="O163" s="87" t="e">
        <v>#N/A</v>
      </c>
      <c r="P163" s="87" t="e">
        <v>#N/A</v>
      </c>
      <c r="Q163" s="87" t="e">
        <v>#N/A</v>
      </c>
      <c r="R163" s="87" t="e">
        <v>#N/A</v>
      </c>
      <c r="S163" s="87" t="e">
        <v>#N/A</v>
      </c>
      <c r="T163" s="87" t="e">
        <v>#N/A</v>
      </c>
      <c r="U163" s="87" t="e">
        <v>#N/A</v>
      </c>
      <c r="V163" s="87" t="e">
        <v>#N/A</v>
      </c>
      <c r="W163" s="87" t="e">
        <v>#N/A</v>
      </c>
      <c r="X163" s="87" t="e">
        <v>#N/A</v>
      </c>
      <c r="Y163" s="87" t="e">
        <v>#N/A</v>
      </c>
      <c r="Z163" s="87" t="e">
        <v>#N/A</v>
      </c>
      <c r="AA163" s="87" t="e">
        <v>#N/A</v>
      </c>
      <c r="AB163" s="87" t="e">
        <v>#N/A</v>
      </c>
      <c r="AC163" s="87" t="e">
        <v>#N/A</v>
      </c>
      <c r="AD163" s="87" t="e">
        <v>#N/A</v>
      </c>
      <c r="AE163" s="87" t="e">
        <v>#N/A</v>
      </c>
    </row>
    <row r="164" spans="2:31" x14ac:dyDescent="0.35">
      <c r="B164"/>
      <c r="C164"/>
      <c r="D164"/>
      <c r="E164"/>
    </row>
    <row r="165" spans="2:31" x14ac:dyDescent="0.35">
      <c r="B165" t="s">
        <v>141</v>
      </c>
      <c r="C165" s="7" t="s">
        <v>4</v>
      </c>
      <c r="D165" s="75" t="e">
        <f ca="1">SUM(INDIRECT(CONCATENATE("F",ROW(F165),":",$D$95,ROW(F165))))</f>
        <v>#N/A</v>
      </c>
      <c r="E165" s="75" t="e" cm="1">
        <f t="array" aca="1" ref="E165" ca="1">INDIRECT(CONCATENATE($D$95,ROW(F165)))</f>
        <v>#N/A</v>
      </c>
      <c r="F165" s="86" t="e" cm="1">
        <f t="array" ref="F165:AE165">F161:AE161+F149:AE149</f>
        <v>#N/A</v>
      </c>
      <c r="G165" s="87" t="e">
        <v>#N/A</v>
      </c>
      <c r="H165" s="87" t="e">
        <v>#N/A</v>
      </c>
      <c r="I165" s="87" t="e">
        <v>#N/A</v>
      </c>
      <c r="J165" s="87" t="e">
        <v>#N/A</v>
      </c>
      <c r="K165" s="87" t="e">
        <v>#N/A</v>
      </c>
      <c r="L165" s="87" t="e">
        <v>#N/A</v>
      </c>
      <c r="M165" s="87" t="e">
        <v>#N/A</v>
      </c>
      <c r="N165" s="87" t="e">
        <v>#N/A</v>
      </c>
      <c r="O165" s="87" t="e">
        <v>#N/A</v>
      </c>
      <c r="P165" s="87" t="e">
        <v>#N/A</v>
      </c>
      <c r="Q165" s="87" t="e">
        <v>#N/A</v>
      </c>
      <c r="R165" s="87" t="e">
        <v>#N/A</v>
      </c>
      <c r="S165" s="87" t="e">
        <v>#N/A</v>
      </c>
      <c r="T165" s="87" t="e">
        <v>#N/A</v>
      </c>
      <c r="U165" s="87" t="e">
        <v>#N/A</v>
      </c>
      <c r="V165" s="87" t="e">
        <v>#N/A</v>
      </c>
      <c r="W165" s="87" t="e">
        <v>#N/A</v>
      </c>
      <c r="X165" s="87" t="e">
        <v>#N/A</v>
      </c>
      <c r="Y165" s="87" t="e">
        <v>#N/A</v>
      </c>
      <c r="Z165" s="87" t="e">
        <v>#N/A</v>
      </c>
      <c r="AA165" s="87" t="e">
        <v>#N/A</v>
      </c>
      <c r="AB165" s="87" t="e">
        <v>#N/A</v>
      </c>
      <c r="AC165" s="87" t="e">
        <v>#N/A</v>
      </c>
      <c r="AD165" s="87" t="e">
        <v>#N/A</v>
      </c>
      <c r="AE165" s="87" t="e">
        <v>#N/A</v>
      </c>
    </row>
    <row r="166" spans="2:31" x14ac:dyDescent="0.35">
      <c r="B166" t="s">
        <v>142</v>
      </c>
      <c r="C166" s="7" t="s">
        <v>4</v>
      </c>
      <c r="D166" s="75" t="e">
        <f ca="1">SUM(INDIRECT(CONCATENATE("F",ROW(F166),":",$D$95,ROW(F166))))</f>
        <v>#N/A</v>
      </c>
      <c r="E166" s="75" t="e" cm="1">
        <f t="array" aca="1" ref="E166" ca="1">INDIRECT(CONCATENATE($D$95,ROW(F166)))</f>
        <v>#N/A</v>
      </c>
      <c r="F166" s="86" t="e" cm="1">
        <f t="array" ref="F166:AE166">F162:AE162+_xlfn.ANCHORARRAY(F157)</f>
        <v>#N/A</v>
      </c>
      <c r="G166" s="87" t="e">
        <v>#N/A</v>
      </c>
      <c r="H166" s="87" t="e">
        <v>#N/A</v>
      </c>
      <c r="I166" s="87" t="e">
        <v>#N/A</v>
      </c>
      <c r="J166" s="87" t="e">
        <v>#N/A</v>
      </c>
      <c r="K166" s="87" t="e">
        <v>#N/A</v>
      </c>
      <c r="L166" s="87" t="e">
        <v>#N/A</v>
      </c>
      <c r="M166" s="87" t="e">
        <v>#N/A</v>
      </c>
      <c r="N166" s="87" t="e">
        <v>#N/A</v>
      </c>
      <c r="O166" s="87" t="e">
        <v>#N/A</v>
      </c>
      <c r="P166" s="87" t="e">
        <v>#N/A</v>
      </c>
      <c r="Q166" s="87" t="e">
        <v>#N/A</v>
      </c>
      <c r="R166" s="87" t="e">
        <v>#N/A</v>
      </c>
      <c r="S166" s="87" t="e">
        <v>#N/A</v>
      </c>
      <c r="T166" s="87" t="e">
        <v>#N/A</v>
      </c>
      <c r="U166" s="87" t="e">
        <v>#N/A</v>
      </c>
      <c r="V166" s="87" t="e">
        <v>#N/A</v>
      </c>
      <c r="W166" s="87" t="e">
        <v>#N/A</v>
      </c>
      <c r="X166" s="87" t="e">
        <v>#N/A</v>
      </c>
      <c r="Y166" s="87" t="e">
        <v>#N/A</v>
      </c>
      <c r="Z166" s="87" t="e">
        <v>#N/A</v>
      </c>
      <c r="AA166" s="87" t="e">
        <v>#N/A</v>
      </c>
      <c r="AB166" s="87" t="e">
        <v>#N/A</v>
      </c>
      <c r="AC166" s="87" t="e">
        <v>#N/A</v>
      </c>
      <c r="AD166" s="87" t="e">
        <v>#N/A</v>
      </c>
      <c r="AE166" s="87" t="e">
        <v>#N/A</v>
      </c>
    </row>
    <row r="167" spans="2:31" x14ac:dyDescent="0.35">
      <c r="B167" t="s">
        <v>143</v>
      </c>
      <c r="C167" s="7" t="s">
        <v>4</v>
      </c>
      <c r="D167" s="75" t="e">
        <f ca="1">SUM(INDIRECT(CONCATENATE("F",ROW(F167),":",$D$95,ROW(F167))))</f>
        <v>#N/A</v>
      </c>
      <c r="E167" s="75" t="e" cm="1">
        <f t="array" aca="1" ref="E167" ca="1">INDIRECT(CONCATENATE($D$95,ROW(F167)))</f>
        <v>#N/A</v>
      </c>
      <c r="F167" s="86" t="e" cm="1">
        <f t="array" ref="F167:AE167">F163:AE163+_xlfn.ANCHORARRAY(F158)</f>
        <v>#N/A</v>
      </c>
      <c r="G167" s="87" t="e">
        <v>#N/A</v>
      </c>
      <c r="H167" s="87" t="e">
        <v>#N/A</v>
      </c>
      <c r="I167" s="87" t="e">
        <v>#N/A</v>
      </c>
      <c r="J167" s="87" t="e">
        <v>#N/A</v>
      </c>
      <c r="K167" s="87" t="e">
        <v>#N/A</v>
      </c>
      <c r="L167" s="87" t="e">
        <v>#N/A</v>
      </c>
      <c r="M167" s="87" t="e">
        <v>#N/A</v>
      </c>
      <c r="N167" s="87" t="e">
        <v>#N/A</v>
      </c>
      <c r="O167" s="87" t="e">
        <v>#N/A</v>
      </c>
      <c r="P167" s="87" t="e">
        <v>#N/A</v>
      </c>
      <c r="Q167" s="87" t="e">
        <v>#N/A</v>
      </c>
      <c r="R167" s="87" t="e">
        <v>#N/A</v>
      </c>
      <c r="S167" s="87" t="e">
        <v>#N/A</v>
      </c>
      <c r="T167" s="87" t="e">
        <v>#N/A</v>
      </c>
      <c r="U167" s="87" t="e">
        <v>#N/A</v>
      </c>
      <c r="V167" s="87" t="e">
        <v>#N/A</v>
      </c>
      <c r="W167" s="87" t="e">
        <v>#N/A</v>
      </c>
      <c r="X167" s="87" t="e">
        <v>#N/A</v>
      </c>
      <c r="Y167" s="87" t="e">
        <v>#N/A</v>
      </c>
      <c r="Z167" s="87" t="e">
        <v>#N/A</v>
      </c>
      <c r="AA167" s="87" t="e">
        <v>#N/A</v>
      </c>
      <c r="AB167" s="87" t="e">
        <v>#N/A</v>
      </c>
      <c r="AC167" s="87" t="e">
        <v>#N/A</v>
      </c>
      <c r="AD167" s="87" t="e">
        <v>#N/A</v>
      </c>
      <c r="AE167" s="87" t="e">
        <v>#N/A</v>
      </c>
    </row>
    <row r="168" spans="2:31" x14ac:dyDescent="0.35">
      <c r="B168"/>
      <c r="C168"/>
      <c r="D168"/>
      <c r="E168"/>
    </row>
    <row r="169" spans="2:31" x14ac:dyDescent="0.35">
      <c r="B169" t="s">
        <v>256</v>
      </c>
      <c r="C169" s="7" t="s">
        <v>4</v>
      </c>
      <c r="D169" s="75" t="e">
        <f ca="1">SUM(INDIRECT(CONCATENATE("F",ROW(F169),":",$D$95,ROW(F169))))</f>
        <v>#N/A</v>
      </c>
      <c r="E169" s="21"/>
      <c r="F169" s="86" t="e" cm="1">
        <f t="array" ref="F169:AE169">_xlfn.ANCHORARRAY(F165)-_xlfn.ANCHORARRAY(F167)</f>
        <v>#N/A</v>
      </c>
      <c r="G169" s="87" t="e">
        <v>#N/A</v>
      </c>
      <c r="H169" s="87" t="e">
        <v>#N/A</v>
      </c>
      <c r="I169" s="87" t="e">
        <v>#N/A</v>
      </c>
      <c r="J169" s="87" t="e">
        <v>#N/A</v>
      </c>
      <c r="K169" s="87" t="e">
        <v>#N/A</v>
      </c>
      <c r="L169" s="87" t="e">
        <v>#N/A</v>
      </c>
      <c r="M169" s="87" t="e">
        <v>#N/A</v>
      </c>
      <c r="N169" s="87" t="e">
        <v>#N/A</v>
      </c>
      <c r="O169" s="87" t="e">
        <v>#N/A</v>
      </c>
      <c r="P169" s="87" t="e">
        <v>#N/A</v>
      </c>
      <c r="Q169" s="87" t="e">
        <v>#N/A</v>
      </c>
      <c r="R169" s="87" t="e">
        <v>#N/A</v>
      </c>
      <c r="S169" s="87" t="e">
        <v>#N/A</v>
      </c>
      <c r="T169" s="87" t="e">
        <v>#N/A</v>
      </c>
      <c r="U169" s="87" t="e">
        <v>#N/A</v>
      </c>
      <c r="V169" s="87" t="e">
        <v>#N/A</v>
      </c>
      <c r="W169" s="87" t="e">
        <v>#N/A</v>
      </c>
      <c r="X169" s="87" t="e">
        <v>#N/A</v>
      </c>
      <c r="Y169" s="87" t="e">
        <v>#N/A</v>
      </c>
      <c r="Z169" s="87" t="e">
        <v>#N/A</v>
      </c>
      <c r="AA169" s="87" t="e">
        <v>#N/A</v>
      </c>
      <c r="AB169" s="87" t="e">
        <v>#N/A</v>
      </c>
      <c r="AC169" s="87" t="e">
        <v>#N/A</v>
      </c>
      <c r="AD169" s="87" t="e">
        <v>#N/A</v>
      </c>
      <c r="AE169" s="87" t="e">
        <v>#N/A</v>
      </c>
    </row>
    <row r="170" spans="2:31" x14ac:dyDescent="0.35">
      <c r="B170" t="s">
        <v>255</v>
      </c>
      <c r="C170" s="7" t="s">
        <v>4</v>
      </c>
      <c r="D170" s="75" t="e">
        <f ca="1">SUM(INDIRECT(CONCATENATE("F",ROW(F170),":",$D$95,ROW(F170))))</f>
        <v>#N/A</v>
      </c>
      <c r="E170" s="21"/>
      <c r="F170" s="86" t="e" cm="1">
        <f t="array" ref="F170:AE170">_xlfn.ANCHORARRAY(F165)-_xlfn.ANCHORARRAY(F166)</f>
        <v>#N/A</v>
      </c>
      <c r="G170" s="87" t="e">
        <v>#N/A</v>
      </c>
      <c r="H170" s="87" t="e">
        <v>#N/A</v>
      </c>
      <c r="I170" s="87" t="e">
        <v>#N/A</v>
      </c>
      <c r="J170" s="87" t="e">
        <v>#N/A</v>
      </c>
      <c r="K170" s="87" t="e">
        <v>#N/A</v>
      </c>
      <c r="L170" s="87" t="e">
        <v>#N/A</v>
      </c>
      <c r="M170" s="87" t="e">
        <v>#N/A</v>
      </c>
      <c r="N170" s="87" t="e">
        <v>#N/A</v>
      </c>
      <c r="O170" s="87" t="e">
        <v>#N/A</v>
      </c>
      <c r="P170" s="87" t="e">
        <v>#N/A</v>
      </c>
      <c r="Q170" s="87" t="e">
        <v>#N/A</v>
      </c>
      <c r="R170" s="87" t="e">
        <v>#N/A</v>
      </c>
      <c r="S170" s="87" t="e">
        <v>#N/A</v>
      </c>
      <c r="T170" s="87" t="e">
        <v>#N/A</v>
      </c>
      <c r="U170" s="87" t="e">
        <v>#N/A</v>
      </c>
      <c r="V170" s="87" t="e">
        <v>#N/A</v>
      </c>
      <c r="W170" s="87" t="e">
        <v>#N/A</v>
      </c>
      <c r="X170" s="87" t="e">
        <v>#N/A</v>
      </c>
      <c r="Y170" s="87" t="e">
        <v>#N/A</v>
      </c>
      <c r="Z170" s="87" t="e">
        <v>#N/A</v>
      </c>
      <c r="AA170" s="87" t="e">
        <v>#N/A</v>
      </c>
      <c r="AB170" s="87" t="e">
        <v>#N/A</v>
      </c>
      <c r="AC170" s="87" t="e">
        <v>#N/A</v>
      </c>
      <c r="AD170" s="87" t="e">
        <v>#N/A</v>
      </c>
      <c r="AE170" s="87" t="e">
        <v>#N/A</v>
      </c>
    </row>
    <row r="171" spans="2:31" x14ac:dyDescent="0.35">
      <c r="B171" t="s">
        <v>379</v>
      </c>
      <c r="C171" s="7" t="s">
        <v>4</v>
      </c>
      <c r="E171" s="21"/>
      <c r="F171" s="86" t="e">
        <f>SUM($F169)</f>
        <v>#N/A</v>
      </c>
      <c r="G171" s="87" t="e">
        <f>SUM($F169:G169)</f>
        <v>#N/A</v>
      </c>
      <c r="H171" s="87" t="e">
        <f>SUM($F169:H169)</f>
        <v>#N/A</v>
      </c>
      <c r="I171" s="87" t="e">
        <f>SUM($F169:I169)</f>
        <v>#N/A</v>
      </c>
      <c r="J171" s="87" t="e">
        <f>SUM($F169:J169)</f>
        <v>#N/A</v>
      </c>
      <c r="K171" s="87" t="e">
        <f>SUM($F169:K169)</f>
        <v>#N/A</v>
      </c>
      <c r="L171" s="87" t="e">
        <f>SUM($F169:L169)</f>
        <v>#N/A</v>
      </c>
      <c r="M171" s="87" t="e">
        <f>SUM($F169:M169)</f>
        <v>#N/A</v>
      </c>
      <c r="N171" s="87" t="e">
        <f>SUM($F169:N169)</f>
        <v>#N/A</v>
      </c>
      <c r="O171" s="87" t="e">
        <f>SUM($F169:O169)</f>
        <v>#N/A</v>
      </c>
      <c r="P171" s="87" t="e">
        <f>SUM($F169:P169)</f>
        <v>#N/A</v>
      </c>
      <c r="Q171" s="87" t="e">
        <f>SUM($F169:Q169)</f>
        <v>#N/A</v>
      </c>
      <c r="R171" s="87" t="e">
        <f>SUM($F169:R169)</f>
        <v>#N/A</v>
      </c>
      <c r="S171" s="87" t="e">
        <f>SUM($F169:S169)</f>
        <v>#N/A</v>
      </c>
      <c r="T171" s="87" t="e">
        <f>SUM($F169:T169)</f>
        <v>#N/A</v>
      </c>
      <c r="U171" s="87" t="e">
        <f>SUM($F169:U169)</f>
        <v>#N/A</v>
      </c>
      <c r="V171" s="87" t="e">
        <f>SUM($F169:V169)</f>
        <v>#N/A</v>
      </c>
      <c r="W171" s="87" t="e">
        <f>SUM($F169:W169)</f>
        <v>#N/A</v>
      </c>
      <c r="X171" s="87" t="e">
        <f>SUM($F169:X169)</f>
        <v>#N/A</v>
      </c>
      <c r="Y171" s="87" t="e">
        <f>SUM($F169:Y169)</f>
        <v>#N/A</v>
      </c>
      <c r="Z171" s="87" t="e">
        <f>SUM($F169:Z169)</f>
        <v>#N/A</v>
      </c>
      <c r="AA171" s="87" t="e">
        <f>SUM($F169:AA169)</f>
        <v>#N/A</v>
      </c>
      <c r="AB171" s="87" t="e">
        <f>SUM($F169:AB169)</f>
        <v>#N/A</v>
      </c>
      <c r="AC171" s="87" t="e">
        <f>SUM($F169:AC169)</f>
        <v>#N/A</v>
      </c>
      <c r="AD171" s="87" t="e">
        <f>SUM($F169:AD169)</f>
        <v>#N/A</v>
      </c>
      <c r="AE171" s="87" t="e">
        <f>SUM($F169:AE169)</f>
        <v>#N/A</v>
      </c>
    </row>
    <row r="172" spans="2:31" x14ac:dyDescent="0.35">
      <c r="B172" t="s">
        <v>257</v>
      </c>
      <c r="C172" s="7" t="s">
        <v>306</v>
      </c>
      <c r="E172" s="21"/>
      <c r="F172" s="86" t="e" cm="1">
        <f t="array" ref="F172:AE172">F171:AE171&gt;$F$180</f>
        <v>#N/A</v>
      </c>
      <c r="G172" s="87" t="e">
        <v>#N/A</v>
      </c>
      <c r="H172" s="87" t="e">
        <v>#N/A</v>
      </c>
      <c r="I172" s="87" t="e">
        <v>#N/A</v>
      </c>
      <c r="J172" s="87" t="e">
        <v>#N/A</v>
      </c>
      <c r="K172" s="87" t="e">
        <v>#N/A</v>
      </c>
      <c r="L172" s="87" t="e">
        <v>#N/A</v>
      </c>
      <c r="M172" s="87" t="e">
        <v>#N/A</v>
      </c>
      <c r="N172" s="87" t="e">
        <v>#N/A</v>
      </c>
      <c r="O172" s="87" t="e">
        <v>#N/A</v>
      </c>
      <c r="P172" s="87" t="e">
        <v>#N/A</v>
      </c>
      <c r="Q172" s="87" t="e">
        <v>#N/A</v>
      </c>
      <c r="R172" s="87" t="e">
        <v>#N/A</v>
      </c>
      <c r="S172" s="87" t="e">
        <v>#N/A</v>
      </c>
      <c r="T172" s="87" t="e">
        <v>#N/A</v>
      </c>
      <c r="U172" s="87" t="e">
        <v>#N/A</v>
      </c>
      <c r="V172" s="87" t="e">
        <v>#N/A</v>
      </c>
      <c r="W172" s="87" t="e">
        <v>#N/A</v>
      </c>
      <c r="X172" s="87" t="e">
        <v>#N/A</v>
      </c>
      <c r="Y172" s="87" t="e">
        <v>#N/A</v>
      </c>
      <c r="Z172" s="87" t="e">
        <v>#N/A</v>
      </c>
      <c r="AA172" s="87" t="e">
        <v>#N/A</v>
      </c>
      <c r="AB172" s="87" t="e">
        <v>#N/A</v>
      </c>
      <c r="AC172" s="87" t="e">
        <v>#N/A</v>
      </c>
      <c r="AD172" s="87" t="e">
        <v>#N/A</v>
      </c>
      <c r="AE172" s="87" t="e">
        <v>#N/A</v>
      </c>
    </row>
    <row r="173" spans="2:31" x14ac:dyDescent="0.35">
      <c r="B173" t="s">
        <v>380</v>
      </c>
      <c r="C173" s="7" t="s">
        <v>4</v>
      </c>
      <c r="E173" s="21"/>
      <c r="F173" s="86" t="e">
        <f>SUM($F170:F170)</f>
        <v>#N/A</v>
      </c>
      <c r="G173" s="87" t="e">
        <f>SUM($F170:G170)</f>
        <v>#N/A</v>
      </c>
      <c r="H173" s="87" t="e">
        <f>SUM($F170:H170)</f>
        <v>#N/A</v>
      </c>
      <c r="I173" s="87" t="e">
        <f>SUM($F170:I170)</f>
        <v>#N/A</v>
      </c>
      <c r="J173" s="87" t="e">
        <f>SUM($F170:J170)</f>
        <v>#N/A</v>
      </c>
      <c r="K173" s="87" t="e">
        <f>SUM($F170:K170)</f>
        <v>#N/A</v>
      </c>
      <c r="L173" s="87" t="e">
        <f>SUM($F170:L170)</f>
        <v>#N/A</v>
      </c>
      <c r="M173" s="87" t="e">
        <f>SUM($F170:M170)</f>
        <v>#N/A</v>
      </c>
      <c r="N173" s="87" t="e">
        <f>SUM($F170:N170)</f>
        <v>#N/A</v>
      </c>
      <c r="O173" s="87" t="e">
        <f>SUM($F170:O170)</f>
        <v>#N/A</v>
      </c>
      <c r="P173" s="87" t="e">
        <f>SUM($F170:P170)</f>
        <v>#N/A</v>
      </c>
      <c r="Q173" s="87" t="e">
        <f>SUM($F170:Q170)</f>
        <v>#N/A</v>
      </c>
      <c r="R173" s="87" t="e">
        <f>SUM($F170:R170)</f>
        <v>#N/A</v>
      </c>
      <c r="S173" s="87" t="e">
        <f>SUM($F170:S170)</f>
        <v>#N/A</v>
      </c>
      <c r="T173" s="87" t="e">
        <f>SUM($F170:T170)</f>
        <v>#N/A</v>
      </c>
      <c r="U173" s="87" t="e">
        <f>SUM($F170:U170)</f>
        <v>#N/A</v>
      </c>
      <c r="V173" s="87" t="e">
        <f>SUM($F170:V170)</f>
        <v>#N/A</v>
      </c>
      <c r="W173" s="87" t="e">
        <f>SUM($F170:W170)</f>
        <v>#N/A</v>
      </c>
      <c r="X173" s="87" t="e">
        <f>SUM($F170:X170)</f>
        <v>#N/A</v>
      </c>
      <c r="Y173" s="87" t="e">
        <f>SUM($F170:Y170)</f>
        <v>#N/A</v>
      </c>
      <c r="Z173" s="87" t="e">
        <f>SUM($F170:Z170)</f>
        <v>#N/A</v>
      </c>
      <c r="AA173" s="87" t="e">
        <f>SUM($F170:AA170)</f>
        <v>#N/A</v>
      </c>
      <c r="AB173" s="87" t="e">
        <f>SUM($F170:AB170)</f>
        <v>#N/A</v>
      </c>
      <c r="AC173" s="87" t="e">
        <f>SUM($F170:AC170)</f>
        <v>#N/A</v>
      </c>
      <c r="AD173" s="87" t="e">
        <f>SUM($F170:AD170)</f>
        <v>#N/A</v>
      </c>
      <c r="AE173" s="87" t="e">
        <f>SUM($F170:AE170)</f>
        <v>#N/A</v>
      </c>
    </row>
    <row r="174" spans="2:31" x14ac:dyDescent="0.35">
      <c r="B174" t="s">
        <v>258</v>
      </c>
      <c r="C174" s="7" t="s">
        <v>306</v>
      </c>
      <c r="E174" s="21"/>
      <c r="F174" s="86" t="e" cm="1">
        <f t="array" ref="F174:AE174">F173:AE173&gt;$F$180</f>
        <v>#N/A</v>
      </c>
      <c r="G174" s="87" t="e">
        <v>#N/A</v>
      </c>
      <c r="H174" s="87" t="e">
        <v>#N/A</v>
      </c>
      <c r="I174" s="87" t="e">
        <v>#N/A</v>
      </c>
      <c r="J174" s="87" t="e">
        <v>#N/A</v>
      </c>
      <c r="K174" s="87" t="e">
        <v>#N/A</v>
      </c>
      <c r="L174" s="87" t="e">
        <v>#N/A</v>
      </c>
      <c r="M174" s="87" t="e">
        <v>#N/A</v>
      </c>
      <c r="N174" s="87" t="e">
        <v>#N/A</v>
      </c>
      <c r="O174" s="87" t="e">
        <v>#N/A</v>
      </c>
      <c r="P174" s="87" t="e">
        <v>#N/A</v>
      </c>
      <c r="Q174" s="87" t="e">
        <v>#N/A</v>
      </c>
      <c r="R174" s="87" t="e">
        <v>#N/A</v>
      </c>
      <c r="S174" s="87" t="e">
        <v>#N/A</v>
      </c>
      <c r="T174" s="87" t="e">
        <v>#N/A</v>
      </c>
      <c r="U174" s="87" t="e">
        <v>#N/A</v>
      </c>
      <c r="V174" s="87" t="e">
        <v>#N/A</v>
      </c>
      <c r="W174" s="87" t="e">
        <v>#N/A</v>
      </c>
      <c r="X174" s="87" t="e">
        <v>#N/A</v>
      </c>
      <c r="Y174" s="87" t="e">
        <v>#N/A</v>
      </c>
      <c r="Z174" s="87" t="e">
        <v>#N/A</v>
      </c>
      <c r="AA174" s="87" t="e">
        <v>#N/A</v>
      </c>
      <c r="AB174" s="87" t="e">
        <v>#N/A</v>
      </c>
      <c r="AC174" s="87" t="e">
        <v>#N/A</v>
      </c>
      <c r="AD174" s="87" t="e">
        <v>#N/A</v>
      </c>
      <c r="AE174" s="87" t="e">
        <v>#N/A</v>
      </c>
    </row>
    <row r="175" spans="2:31" x14ac:dyDescent="0.35">
      <c r="E175" s="21"/>
      <c r="F175" s="143"/>
      <c r="G175" s="143"/>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row>
    <row r="176" spans="2:31" x14ac:dyDescent="0.35">
      <c r="B176" s="8" t="s">
        <v>144</v>
      </c>
      <c r="E176" s="21"/>
      <c r="F176" s="5"/>
    </row>
    <row r="177" spans="2:31" x14ac:dyDescent="0.35">
      <c r="B177" s="88" t="s">
        <v>381</v>
      </c>
      <c r="C177" s="7" t="s">
        <v>4</v>
      </c>
      <c r="D177" s="75">
        <f ca="1">SUM(INDIRECT(CONCATENATE("F",ROW(F177),":",$D$95,ROW(F177))))</f>
        <v>0</v>
      </c>
      <c r="E177" s="21"/>
      <c r="F177" s="86">
        <f>D80</f>
        <v>0</v>
      </c>
      <c r="G177" s="87">
        <v>0</v>
      </c>
      <c r="H177" s="87">
        <v>0</v>
      </c>
      <c r="I177" s="87">
        <v>0</v>
      </c>
      <c r="J177" s="87">
        <v>0</v>
      </c>
      <c r="K177" s="87">
        <v>0</v>
      </c>
      <c r="L177" s="87">
        <v>0</v>
      </c>
      <c r="M177" s="87">
        <v>0</v>
      </c>
      <c r="N177" s="87">
        <v>0</v>
      </c>
      <c r="O177" s="87">
        <v>0</v>
      </c>
      <c r="P177" s="87">
        <v>0</v>
      </c>
      <c r="Q177" s="87">
        <v>0</v>
      </c>
      <c r="R177" s="87">
        <v>0</v>
      </c>
      <c r="S177" s="87">
        <v>0</v>
      </c>
      <c r="T177" s="87">
        <v>0</v>
      </c>
      <c r="U177" s="87">
        <v>0</v>
      </c>
      <c r="V177" s="87">
        <v>0</v>
      </c>
      <c r="W177" s="87">
        <v>0</v>
      </c>
      <c r="X177" s="87">
        <v>0</v>
      </c>
      <c r="Y177" s="87">
        <v>0</v>
      </c>
      <c r="Z177" s="87">
        <v>0</v>
      </c>
      <c r="AA177" s="87">
        <v>0</v>
      </c>
      <c r="AB177" s="87">
        <v>0</v>
      </c>
      <c r="AC177" s="87">
        <v>0</v>
      </c>
      <c r="AD177" s="87">
        <v>0</v>
      </c>
      <c r="AE177" s="87">
        <v>0</v>
      </c>
    </row>
    <row r="178" spans="2:31" x14ac:dyDescent="0.35">
      <c r="B178" s="88" t="s">
        <v>145</v>
      </c>
      <c r="C178" s="7" t="s">
        <v>4</v>
      </c>
      <c r="D178" s="75" t="e">
        <f ca="1">SUM(INDIRECT(CONCATENATE("F",ROW(F178),":",$D$95,ROW(F178))))</f>
        <v>#N/A</v>
      </c>
      <c r="E178" s="21"/>
      <c r="F178" s="86" t="e">
        <f>E80</f>
        <v>#N/A</v>
      </c>
      <c r="G178" s="87">
        <v>0</v>
      </c>
      <c r="H178" s="87">
        <v>0</v>
      </c>
      <c r="I178" s="87">
        <v>0</v>
      </c>
      <c r="J178" s="87">
        <v>0</v>
      </c>
      <c r="K178" s="87">
        <v>0</v>
      </c>
      <c r="L178" s="87">
        <v>0</v>
      </c>
      <c r="M178" s="87">
        <v>0</v>
      </c>
      <c r="N178" s="87">
        <v>0</v>
      </c>
      <c r="O178" s="87">
        <v>0</v>
      </c>
      <c r="P178" s="87">
        <v>0</v>
      </c>
      <c r="Q178" s="87">
        <v>0</v>
      </c>
      <c r="R178" s="87">
        <v>0</v>
      </c>
      <c r="S178" s="87">
        <v>0</v>
      </c>
      <c r="T178" s="87">
        <v>0</v>
      </c>
      <c r="U178" s="87">
        <v>0</v>
      </c>
      <c r="V178" s="87">
        <v>0</v>
      </c>
      <c r="W178" s="87">
        <v>0</v>
      </c>
      <c r="X178" s="87">
        <v>0</v>
      </c>
      <c r="Y178" s="87">
        <v>0</v>
      </c>
      <c r="Z178" s="87">
        <v>0</v>
      </c>
      <c r="AA178" s="87">
        <v>0</v>
      </c>
      <c r="AB178" s="87">
        <v>0</v>
      </c>
      <c r="AC178" s="87">
        <v>0</v>
      </c>
      <c r="AD178" s="87">
        <v>0</v>
      </c>
      <c r="AE178" s="87">
        <v>0</v>
      </c>
    </row>
    <row r="179" spans="2:31" x14ac:dyDescent="0.35">
      <c r="B179" s="88" t="s">
        <v>146</v>
      </c>
      <c r="C179" s="7" t="s">
        <v>4</v>
      </c>
      <c r="D179" s="75" t="e">
        <f ca="1">SUM(INDIRECT(CONCATENATE("F",ROW(F179),":",$D$95,ROW(F179))))</f>
        <v>#N/A</v>
      </c>
      <c r="E179" s="21"/>
      <c r="F179" s="86" t="e">
        <f>F80</f>
        <v>#N/A</v>
      </c>
      <c r="G179" s="87">
        <v>0</v>
      </c>
      <c r="H179" s="87">
        <v>0</v>
      </c>
      <c r="I179" s="87">
        <v>0</v>
      </c>
      <c r="J179" s="87">
        <v>0</v>
      </c>
      <c r="K179" s="87">
        <v>0</v>
      </c>
      <c r="L179" s="87">
        <v>0</v>
      </c>
      <c r="M179" s="87">
        <v>0</v>
      </c>
      <c r="N179" s="87">
        <v>0</v>
      </c>
      <c r="O179" s="87">
        <v>0</v>
      </c>
      <c r="P179" s="87">
        <v>0</v>
      </c>
      <c r="Q179" s="87">
        <v>0</v>
      </c>
      <c r="R179" s="87">
        <v>0</v>
      </c>
      <c r="S179" s="87">
        <v>0</v>
      </c>
      <c r="T179" s="87">
        <v>0</v>
      </c>
      <c r="U179" s="87">
        <v>0</v>
      </c>
      <c r="V179" s="87">
        <v>0</v>
      </c>
      <c r="W179" s="87">
        <v>0</v>
      </c>
      <c r="X179" s="87">
        <v>0</v>
      </c>
      <c r="Y179" s="87">
        <v>0</v>
      </c>
      <c r="Z179" s="87">
        <v>0</v>
      </c>
      <c r="AA179" s="87">
        <v>0</v>
      </c>
      <c r="AB179" s="87">
        <v>0</v>
      </c>
      <c r="AC179" s="87">
        <v>0</v>
      </c>
      <c r="AD179" s="87">
        <v>0</v>
      </c>
      <c r="AE179" s="87">
        <v>0</v>
      </c>
    </row>
    <row r="180" spans="2:31" x14ac:dyDescent="0.35">
      <c r="E180" s="21"/>
      <c r="F180" s="143" t="e" cm="1">
        <f t="array" ref="F180:AE180">F179:AE179-F177:AE177</f>
        <v>#N/A</v>
      </c>
      <c r="G180">
        <v>0</v>
      </c>
      <c r="H180">
        <v>0</v>
      </c>
      <c r="I180">
        <v>0</v>
      </c>
      <c r="J180">
        <v>0</v>
      </c>
      <c r="K180">
        <v>0</v>
      </c>
      <c r="L180">
        <v>0</v>
      </c>
      <c r="M180">
        <v>0</v>
      </c>
      <c r="N180">
        <v>0</v>
      </c>
      <c r="O180">
        <v>0</v>
      </c>
      <c r="P180">
        <v>0</v>
      </c>
      <c r="Q180">
        <v>0</v>
      </c>
      <c r="R180">
        <v>0</v>
      </c>
      <c r="S180">
        <v>0</v>
      </c>
      <c r="T180">
        <v>0</v>
      </c>
      <c r="U180">
        <v>0</v>
      </c>
      <c r="V180">
        <v>0</v>
      </c>
      <c r="W180">
        <v>0</v>
      </c>
      <c r="X180">
        <v>0</v>
      </c>
      <c r="Y180">
        <v>0</v>
      </c>
      <c r="Z180">
        <v>0</v>
      </c>
      <c r="AA180">
        <v>0</v>
      </c>
      <c r="AB180">
        <v>0</v>
      </c>
      <c r="AC180">
        <v>0</v>
      </c>
      <c r="AD180">
        <v>0</v>
      </c>
      <c r="AE180">
        <v>0</v>
      </c>
    </row>
    <row r="181" spans="2:31" x14ac:dyDescent="0.35">
      <c r="E181" s="21"/>
      <c r="F181" s="143"/>
    </row>
    <row r="182" spans="2:31" x14ac:dyDescent="0.35">
      <c r="B182" s="8" t="s">
        <v>147</v>
      </c>
      <c r="E182" s="21"/>
      <c r="F182" s="125"/>
    </row>
    <row r="183" spans="2:31" x14ac:dyDescent="0.35">
      <c r="B183" s="88" t="s">
        <v>148</v>
      </c>
      <c r="C183" s="7" t="s">
        <v>4</v>
      </c>
      <c r="D183" s="73"/>
      <c r="E183" s="136"/>
      <c r="F183" s="87" t="e">
        <f ca="1">NPV($D$58,INDIRECT(CONCATENATE("F",ROW(F165),":",$D$95,ROW(F165))))+F177</f>
        <v>#N/A</v>
      </c>
      <c r="G183" s="210"/>
    </row>
    <row r="184" spans="2:31" x14ac:dyDescent="0.35">
      <c r="B184" s="88" t="s">
        <v>149</v>
      </c>
      <c r="C184" s="7" t="s">
        <v>4</v>
      </c>
      <c r="E184" s="21"/>
      <c r="F184" s="87" t="e">
        <f ca="1">NPV($D$58,INDIRECT(CONCATENATE("F",ROW(F166),":",$D$95,ROW(F166))))+F178</f>
        <v>#N/A</v>
      </c>
      <c r="G184" s="210"/>
    </row>
    <row r="185" spans="2:31" x14ac:dyDescent="0.35">
      <c r="B185" s="88" t="s">
        <v>150</v>
      </c>
      <c r="C185" s="7" t="s">
        <v>4</v>
      </c>
      <c r="D185"/>
      <c r="E185"/>
      <c r="F185" s="87" t="e">
        <f ca="1">NPV($D$58,INDIRECT(CONCATENATE("F",ROW(F167),":",$D$95,ROW(F167))))+F179</f>
        <v>#N/A</v>
      </c>
      <c r="G185" s="210"/>
    </row>
    <row r="186" spans="2:31" x14ac:dyDescent="0.35">
      <c r="B186"/>
      <c r="C186"/>
      <c r="D186"/>
      <c r="E186"/>
    </row>
    <row r="187" spans="2:31" x14ac:dyDescent="0.35">
      <c r="B187"/>
      <c r="C187"/>
      <c r="D187"/>
      <c r="E187"/>
      <c r="G187" s="15"/>
    </row>
    <row r="188" spans="2:31" x14ac:dyDescent="0.35">
      <c r="B188" s="8" t="s">
        <v>151</v>
      </c>
    </row>
    <row r="189" spans="2:31" x14ac:dyDescent="0.35">
      <c r="B189" s="239" t="s">
        <v>152</v>
      </c>
      <c r="C189" s="240"/>
      <c r="D189" s="241"/>
      <c r="E189" s="241" t="s">
        <v>246</v>
      </c>
      <c r="F189" s="241"/>
      <c r="G189" s="242" t="s">
        <v>33</v>
      </c>
      <c r="H189" s="242"/>
      <c r="I189" s="242"/>
      <c r="J189" s="242"/>
      <c r="K189" s="243"/>
      <c r="L189" s="243"/>
      <c r="M189" s="243"/>
      <c r="N189" s="243"/>
    </row>
    <row r="190" spans="2:31" ht="35.5" x14ac:dyDescent="0.75">
      <c r="B190" s="10"/>
      <c r="C190" s="22" t="s">
        <v>87</v>
      </c>
      <c r="D190" s="11" t="s">
        <v>382</v>
      </c>
      <c r="E190" s="138"/>
      <c r="F190" s="11"/>
      <c r="G190" s="139"/>
      <c r="H190" s="140"/>
      <c r="I190" s="141"/>
      <c r="J190" s="141"/>
      <c r="L190" s="96"/>
      <c r="M190" s="97"/>
      <c r="O190" s="127" t="s">
        <v>241</v>
      </c>
      <c r="P190" s="2"/>
    </row>
    <row r="191" spans="2:31" ht="15" customHeight="1" x14ac:dyDescent="0.35">
      <c r="B191" s="93" t="s">
        <v>382</v>
      </c>
      <c r="C191" s="221"/>
      <c r="D191" s="213" t="e">
        <f ca="1">E108</f>
        <v>#N/A</v>
      </c>
      <c r="E191" s="216"/>
      <c r="F191" s="89"/>
      <c r="G191" s="5"/>
      <c r="I191" s="98"/>
      <c r="J191" s="98"/>
      <c r="K191" s="98"/>
      <c r="L191" s="98"/>
      <c r="M191" s="98"/>
      <c r="N191" s="98"/>
      <c r="O191" s="75">
        <v>0</v>
      </c>
      <c r="P191" s="238">
        <v>0</v>
      </c>
    </row>
    <row r="192" spans="2:31" x14ac:dyDescent="0.35">
      <c r="B192" s="91" t="s">
        <v>153</v>
      </c>
      <c r="C192" s="75" t="e">
        <f ca="1">MIN(E116,E117)</f>
        <v>#N/A</v>
      </c>
      <c r="D192" s="213"/>
      <c r="E192" s="216" t="e">
        <f ca="1">(D191-C192)/D191</f>
        <v>#N/A</v>
      </c>
      <c r="F192" s="89"/>
      <c r="G192" s="225" t="e">
        <f ca="1">"Annual building energy use will "&amp;IF(E192&gt;0,"decrease","increase")&amp;" by an estimated "&amp;E195&amp;" in comparison to the buisness as usual."</f>
        <v>#N/A</v>
      </c>
      <c r="I192" s="98"/>
      <c r="J192" s="98"/>
      <c r="K192" s="98"/>
      <c r="L192" s="98"/>
      <c r="M192" s="98"/>
      <c r="N192" s="98"/>
      <c r="O192" s="75">
        <v>10</v>
      </c>
      <c r="P192" s="238">
        <v>0</v>
      </c>
    </row>
    <row r="193" spans="2:16" x14ac:dyDescent="0.35">
      <c r="B193" s="91" t="s">
        <v>253</v>
      </c>
      <c r="C193" s="75" t="e">
        <f ca="1">MAX(E116,E117)-C192</f>
        <v>#N/A</v>
      </c>
      <c r="D193" s="213"/>
      <c r="E193" s="216" t="e">
        <f ca="1">(D191-C194)/D191</f>
        <v>#N/A</v>
      </c>
      <c r="F193" s="89"/>
      <c r="G193" s="225" t="s">
        <v>365</v>
      </c>
      <c r="H193" s="98"/>
      <c r="I193" s="98"/>
      <c r="J193" s="98"/>
      <c r="K193" s="98"/>
      <c r="L193" s="98"/>
      <c r="M193" s="98"/>
      <c r="N193" s="98"/>
      <c r="O193" s="75">
        <v>100</v>
      </c>
      <c r="P193" s="238">
        <v>-1</v>
      </c>
    </row>
    <row r="194" spans="2:16" x14ac:dyDescent="0.35">
      <c r="B194" s="91" t="s">
        <v>154</v>
      </c>
      <c r="C194" s="222" t="e">
        <f ca="1">MAX(E117,E116)</f>
        <v>#N/A</v>
      </c>
      <c r="D194" s="223"/>
      <c r="E194" s="216"/>
      <c r="F194" s="89"/>
      <c r="G194" s="226" t="e">
        <f ca="1">IF(E192&gt;0,"reduced by ","increased by ")&amp;'Tool Calc Sheet'!E195</f>
        <v>#N/A</v>
      </c>
      <c r="H194" s="98"/>
      <c r="I194" s="98"/>
      <c r="J194" s="98"/>
      <c r="K194" s="98"/>
      <c r="L194" s="98"/>
      <c r="M194" s="98"/>
      <c r="N194" s="98"/>
      <c r="O194" s="75">
        <v>199</v>
      </c>
      <c r="P194" s="238">
        <v>-1</v>
      </c>
    </row>
    <row r="195" spans="2:16" x14ac:dyDescent="0.35">
      <c r="B195" s="9" t="s">
        <v>155</v>
      </c>
      <c r="C195" s="75">
        <v>1</v>
      </c>
      <c r="D195" s="75">
        <v>1</v>
      </c>
      <c r="E195" s="220" t="e">
        <f ca="1">IF(E192=E193,TEXT(ABS(MIN(E192:E193)),"#0%"),TEXT(ABS(MIN(E192:E193)),"#0%")&amp;" to "&amp;TEXT(ABS(MAX(E192:E193)),"#0%"))</f>
        <v>#N/A</v>
      </c>
      <c r="F195" s="21"/>
      <c r="G195" s="5"/>
      <c r="H195" s="98"/>
      <c r="I195" s="98"/>
      <c r="J195" s="98"/>
      <c r="K195" s="98"/>
      <c r="L195" s="98"/>
      <c r="M195" s="98"/>
      <c r="N195" s="98"/>
      <c r="O195" s="75">
        <v>1000</v>
      </c>
      <c r="P195" s="238">
        <v>-2</v>
      </c>
    </row>
    <row r="196" spans="2:16" x14ac:dyDescent="0.35">
      <c r="B196" s="88" t="s">
        <v>156</v>
      </c>
      <c r="C196" s="224" t="e">
        <f ca="1">TEXT(ROUND(C192,VLOOKUP(C192,$O$191:$P$198,2,TRUE)),"#,###") &amp;" to " &amp;TEXT(ROUND(C194,VLOOKUP(C194,$O$191:$P$198,2,TRUE)),"#,###") &amp; " kWh/year"</f>
        <v>#N/A</v>
      </c>
      <c r="D196" s="224" t="e">
        <f ca="1">TEXT(ROUND(D191,VLOOKUP(D191,$O$191:$P$198,2,TRUE)),"#,###")&amp; " kWh/year"</f>
        <v>#N/A</v>
      </c>
      <c r="E196" s="137"/>
      <c r="F196" s="90"/>
      <c r="G196" s="5"/>
      <c r="O196" s="75">
        <v>10000</v>
      </c>
      <c r="P196" s="238">
        <v>-3</v>
      </c>
    </row>
    <row r="197" spans="2:16" x14ac:dyDescent="0.35">
      <c r="B197" s="88"/>
      <c r="E197" s="124"/>
      <c r="F197" s="21"/>
      <c r="G197" s="5"/>
      <c r="O197" s="75">
        <v>1000000</v>
      </c>
      <c r="P197" s="238">
        <v>-4</v>
      </c>
    </row>
    <row r="198" spans="2:16" x14ac:dyDescent="0.35">
      <c r="B198" s="239" t="s">
        <v>239</v>
      </c>
      <c r="C198" s="240"/>
      <c r="D198" s="241"/>
      <c r="E198" s="241"/>
      <c r="F198" s="241"/>
      <c r="G198" s="242"/>
      <c r="H198" s="242"/>
      <c r="I198" s="242"/>
      <c r="J198" s="242"/>
      <c r="K198" s="243"/>
      <c r="L198" s="243"/>
      <c r="M198" s="243"/>
      <c r="N198" s="243"/>
      <c r="O198" s="238"/>
      <c r="P198" s="238"/>
    </row>
    <row r="199" spans="2:16" x14ac:dyDescent="0.35">
      <c r="B199" s="92"/>
      <c r="C199" s="229" t="str">
        <f>$C$190</f>
        <v>Retrofit Measure</v>
      </c>
      <c r="D199" s="7" t="str">
        <f>$D$190</f>
        <v>Business as Usual</v>
      </c>
      <c r="E199" s="230"/>
      <c r="F199" s="11"/>
      <c r="G199" s="139"/>
      <c r="H199" s="140"/>
      <c r="I199" s="141"/>
      <c r="J199" s="141"/>
    </row>
    <row r="200" spans="2:16" x14ac:dyDescent="0.35">
      <c r="B200" s="227" t="str" cm="1">
        <f t="array" ref="B200:B205">$B$191:$B$196</f>
        <v>Business as Usual</v>
      </c>
      <c r="C200" s="221"/>
      <c r="D200" s="213" t="e">
        <f ca="1">E129</f>
        <v>#N/A</v>
      </c>
      <c r="E200" s="216"/>
      <c r="F200" s="89"/>
      <c r="G200" s="5"/>
    </row>
    <row r="201" spans="2:16" x14ac:dyDescent="0.35">
      <c r="B201" s="228" t="str">
        <v>Proposed - LOW</v>
      </c>
      <c r="C201" s="75" t="e">
        <f ca="1">MIN(E137,E138)</f>
        <v>#N/A</v>
      </c>
      <c r="D201" s="213"/>
      <c r="E201" s="231" t="e">
        <f ca="1">ROUND((D200-C201)/D200,3)</f>
        <v>#N/A</v>
      </c>
      <c r="F201" s="89"/>
      <c r="G201" s="99" t="e">
        <f ca="1">"Annual building emissions will "&amp;IF(E201&gt;0,"decrease","increase")&amp;" by an estimated "&amp;E204&amp;" in comparison to business as usual operations."</f>
        <v>#N/A</v>
      </c>
      <c r="O201" s="21"/>
    </row>
    <row r="202" spans="2:16" x14ac:dyDescent="0.35">
      <c r="B202" s="228" t="str">
        <v>Proposed - HIGH - Difference</v>
      </c>
      <c r="C202" s="75" t="e">
        <f ca="1">MAX(E137,E138)-C201</f>
        <v>#N/A</v>
      </c>
      <c r="D202" s="213"/>
      <c r="E202" s="231" t="e">
        <f ca="1">ROUND((D200-C203)/D200,3)</f>
        <v>#N/A</v>
      </c>
      <c r="F202" s="89"/>
      <c r="G202" s="99" t="s">
        <v>366</v>
      </c>
      <c r="H202" s="89"/>
      <c r="O202" s="21"/>
    </row>
    <row r="203" spans="2:16" x14ac:dyDescent="0.35">
      <c r="B203" s="228" t="str">
        <v>Proposed - HIGH</v>
      </c>
      <c r="C203" s="75" t="e">
        <f ca="1">MAX(E138,E137)</f>
        <v>#N/A</v>
      </c>
      <c r="D203" s="213"/>
      <c r="E203" s="216"/>
      <c r="F203" s="89"/>
      <c r="G203" s="5" t="e">
        <f ca="1">IF(E204="0%","no difference in emissions",IF(E201&gt;0,"reduced by ","increased by ")&amp;'Tool Calc Sheet'!E204)</f>
        <v>#N/A</v>
      </c>
      <c r="H203" s="89"/>
      <c r="O203" s="21"/>
    </row>
    <row r="204" spans="2:16" x14ac:dyDescent="0.35">
      <c r="B204" s="88" t="str">
        <v>Labels</v>
      </c>
      <c r="C204" s="75">
        <v>1</v>
      </c>
      <c r="D204" s="75">
        <v>1</v>
      </c>
      <c r="E204" s="232" t="e">
        <f ca="1">IF(E201=E202,TEXT(ABS(MIN(E201:E202)),"#0%"),TEXT(ABS(MIN(E201:E202)),"#0%")&amp;" to "&amp;TEXT(ABS(MAX(E201:E202)),"#0%"))</f>
        <v>#N/A</v>
      </c>
      <c r="F204" s="21"/>
      <c r="G204" s="5"/>
    </row>
    <row r="205" spans="2:16" x14ac:dyDescent="0.35">
      <c r="B205" s="88" t="str">
        <v>Totals</v>
      </c>
      <c r="C205" s="224" t="e">
        <f ca="1">TEXT(ROUND(C201,VLOOKUP(C201,$O$191:$P$198,2,TRUE)),"#,###") &amp;" to " &amp;TEXT(ROUND(C203,VLOOKUP(C203,$O$191:$P$198,2,TRUE)),"#,###") &amp; " kgCO₂e/year"</f>
        <v>#N/A</v>
      </c>
      <c r="D205" s="224" t="e">
        <f ca="1">TEXT(ROUND(D200,VLOOKUP(D200,$O$191:$P$198,2,TRUE)),"#,###")&amp; " kgCO₂e/year"</f>
        <v>#N/A</v>
      </c>
      <c r="E205" s="180"/>
      <c r="F205" s="90"/>
      <c r="G205" s="5"/>
    </row>
    <row r="206" spans="2:16" x14ac:dyDescent="0.35">
      <c r="B206" s="88"/>
      <c r="E206" s="124"/>
      <c r="F206" s="21"/>
      <c r="G206" s="5"/>
    </row>
    <row r="207" spans="2:16" x14ac:dyDescent="0.35">
      <c r="B207" s="239" t="s">
        <v>237</v>
      </c>
      <c r="C207" s="240"/>
      <c r="D207" s="241"/>
      <c r="E207" s="241"/>
      <c r="F207" s="241"/>
      <c r="G207" s="242"/>
      <c r="H207" s="242"/>
      <c r="I207" s="242"/>
      <c r="J207" s="242"/>
      <c r="K207" s="243"/>
      <c r="L207" s="243"/>
      <c r="M207" s="243"/>
      <c r="N207" s="243"/>
    </row>
    <row r="208" spans="2:16" x14ac:dyDescent="0.35">
      <c r="B208" s="92"/>
      <c r="C208" s="229" t="str">
        <f>$C$190</f>
        <v>Retrofit Measure</v>
      </c>
      <c r="D208" s="7" t="str">
        <f>$D$190</f>
        <v>Business as Usual</v>
      </c>
      <c r="E208" s="230"/>
      <c r="F208" s="11"/>
      <c r="G208" s="139"/>
      <c r="H208" s="140"/>
      <c r="I208" s="141"/>
      <c r="J208" s="141"/>
      <c r="K208" s="140"/>
      <c r="L208" s="140"/>
      <c r="M208" s="140"/>
      <c r="N208" s="140"/>
    </row>
    <row r="209" spans="2:14" x14ac:dyDescent="0.35">
      <c r="B209" s="227" t="str" cm="1">
        <f t="array" ref="B209:B214">$B$191:$B$196</f>
        <v>Business as Usual</v>
      </c>
      <c r="C209" s="233"/>
      <c r="D209" s="234">
        <f ca="1">D177</f>
        <v>0</v>
      </c>
      <c r="E209" s="216"/>
      <c r="F209" s="89"/>
      <c r="G209" s="5"/>
      <c r="L209" s="126"/>
    </row>
    <row r="210" spans="2:14" x14ac:dyDescent="0.35">
      <c r="B210" s="228" t="str">
        <v>Proposed - LOW</v>
      </c>
      <c r="C210" s="87" t="e">
        <f ca="1">D178</f>
        <v>#N/A</v>
      </c>
      <c r="D210" s="234"/>
      <c r="E210" s="235" t="e">
        <f ca="1">D209-C210</f>
        <v>#N/A</v>
      </c>
      <c r="F210" s="89"/>
      <c r="G210" s="99" t="e">
        <f ca="1">"Investing in this retrofit will cost an estimated "&amp;E213&amp;" "&amp;IF(E210&gt;0,"savings","premium")&amp;" to buisness as usual investments."</f>
        <v>#N/A</v>
      </c>
    </row>
    <row r="211" spans="2:14" x14ac:dyDescent="0.35">
      <c r="B211" s="228" t="str">
        <v>Proposed - HIGH - Difference</v>
      </c>
      <c r="C211" s="87" t="e">
        <f ca="1">D179-C210</f>
        <v>#N/A</v>
      </c>
      <c r="D211" s="234"/>
      <c r="E211" s="235" t="e">
        <f ca="1">D209-C212</f>
        <v>#N/A</v>
      </c>
      <c r="F211" s="89"/>
      <c r="G211" s="99" t="s">
        <v>367</v>
      </c>
      <c r="L211" s="126"/>
    </row>
    <row r="212" spans="2:14" x14ac:dyDescent="0.35">
      <c r="B212" s="228" t="str">
        <v>Proposed - HIGH</v>
      </c>
      <c r="C212" s="87" t="e">
        <f ca="1">D179</f>
        <v>#N/A</v>
      </c>
      <c r="D212" s="234"/>
      <c r="E212" s="235"/>
      <c r="F212" s="89"/>
      <c r="G212" s="5" t="e">
        <f ca="1">IF(E210=0,"no difference in cost.",IF(E210&gt;0,"savings of ","a premium of "))&amp;E213</f>
        <v>#N/A</v>
      </c>
      <c r="L212" s="126"/>
    </row>
    <row r="213" spans="2:14" x14ac:dyDescent="0.35">
      <c r="B213" s="88" t="str">
        <v>Labels</v>
      </c>
      <c r="C213" s="75">
        <v>1</v>
      </c>
      <c r="D213" s="75">
        <v>1</v>
      </c>
      <c r="E213" s="236" t="e">
        <f ca="1">IF(E210=0,"",IF(E210&lt;&gt;E211,TEXT(ABS(ROUND(E210,VLOOKUP(ABS(E210),$O$191:$P$198,2,TRUE))),"$#,###")&amp;" - "&amp;TEXT(ABS(ROUND(E211,VLOOKUP(ABS(E211),$O$191:$P$198,2,TRUE))),"$#,###"),TEXT(ABS(ROUND(E210,VLOOKUP(ABS(E210),$O$191:$P$198,2,TRUE))),"$#,###")))</f>
        <v>#N/A</v>
      </c>
      <c r="F213" s="21"/>
      <c r="G213" s="5"/>
    </row>
    <row r="214" spans="2:14" x14ac:dyDescent="0.35">
      <c r="B214" s="88" t="str">
        <v>Totals</v>
      </c>
      <c r="C214" s="224" t="e">
        <f ca="1">IF(C210&lt;&gt;C212,TEXT(ROUND(C210,VLOOKUP(C210,$O$191:$P$198,2,TRUE)),"$#,###") &amp;" to " &amp;TEXT(ROUND(C212,VLOOKUP(C212,$O$191:$P$198,2,TRUE)),"$#,###"),TEXT(ROUND(C210,VLOOKUP(C210,$O$191:$P$198,2,TRUE)),"$#,###"))</f>
        <v>#N/A</v>
      </c>
      <c r="D214" s="224" t="str">
        <f ca="1">IF(D209=0,"",TEXT(ROUND(D209,VLOOKUP(D209,$O$191:$P$198,2,TRUE)),"$#,###0"))</f>
        <v/>
      </c>
      <c r="F214" s="90"/>
      <c r="G214" s="5"/>
    </row>
    <row r="215" spans="2:14" x14ac:dyDescent="0.35">
      <c r="E215" s="124"/>
      <c r="F215" s="21"/>
      <c r="G215" s="5"/>
    </row>
    <row r="216" spans="2:14" x14ac:dyDescent="0.35">
      <c r="B216" s="239" t="s">
        <v>238</v>
      </c>
      <c r="C216" s="240"/>
      <c r="D216" s="241"/>
      <c r="E216" s="241"/>
      <c r="F216" s="241"/>
      <c r="G216" s="242"/>
      <c r="H216" s="242"/>
      <c r="I216" s="242"/>
      <c r="J216" s="242"/>
      <c r="K216" s="243"/>
      <c r="L216" s="243"/>
      <c r="M216" s="243"/>
      <c r="N216" s="243"/>
    </row>
    <row r="217" spans="2:14" x14ac:dyDescent="0.35">
      <c r="B217" s="92"/>
      <c r="C217" s="229" t="str">
        <f>$C$190</f>
        <v>Retrofit Measure</v>
      </c>
      <c r="D217" s="7" t="str">
        <f>$D$190</f>
        <v>Business as Usual</v>
      </c>
      <c r="E217" s="230"/>
      <c r="F217" s="11"/>
      <c r="G217" s="139"/>
      <c r="H217" s="140"/>
      <c r="I217" s="141"/>
      <c r="J217" s="141"/>
      <c r="K217" s="140"/>
      <c r="L217" s="140"/>
      <c r="M217" s="140"/>
      <c r="N217" s="140"/>
    </row>
    <row r="218" spans="2:14" x14ac:dyDescent="0.35">
      <c r="B218" s="227" t="str" cm="1">
        <f t="array" ref="B218:B223">$B$191:$B$196</f>
        <v>Business as Usual</v>
      </c>
      <c r="C218" s="233"/>
      <c r="D218" s="234" t="e">
        <f ca="1">E149</f>
        <v>#N/A</v>
      </c>
      <c r="E218" s="216"/>
      <c r="F218" s="89"/>
      <c r="G218" s="5"/>
    </row>
    <row r="219" spans="2:14" x14ac:dyDescent="0.35">
      <c r="B219" s="228" t="str">
        <v>Proposed - LOW</v>
      </c>
      <c r="C219" s="87" t="e">
        <f ca="1">MIN(E157,E158)</f>
        <v>#N/A</v>
      </c>
      <c r="D219" s="234"/>
      <c r="E219" s="216" t="e">
        <f ca="1">(D218-C219)/D218</f>
        <v>#N/A</v>
      </c>
      <c r="F219" s="89"/>
      <c r="G219" s="99" t="e">
        <f ca="1">"Annual building utility costs will "&amp;IF(E219&gt;0,"decrease","increase")&amp;" by an estimated "&amp;E222&amp;" in comparison to business as usual operations."</f>
        <v>#N/A</v>
      </c>
    </row>
    <row r="220" spans="2:14" x14ac:dyDescent="0.35">
      <c r="B220" s="228" t="str">
        <v>Proposed - HIGH - Difference</v>
      </c>
      <c r="C220" s="87" t="e">
        <f ca="1">MAX(E157,E158)-C219</f>
        <v>#N/A</v>
      </c>
      <c r="D220" s="234"/>
      <c r="E220" s="216" t="e">
        <f ca="1">(D218-C221)/D218</f>
        <v>#N/A</v>
      </c>
      <c r="F220" s="89"/>
      <c r="G220" s="99" t="s">
        <v>368</v>
      </c>
    </row>
    <row r="221" spans="2:14" x14ac:dyDescent="0.35">
      <c r="B221" s="228" t="str">
        <v>Proposed - HIGH</v>
      </c>
      <c r="C221" s="87" t="e">
        <f ca="1">MAX(E157,E158)</f>
        <v>#N/A</v>
      </c>
      <c r="D221" s="234"/>
      <c r="E221" s="216"/>
      <c r="F221" s="89"/>
      <c r="G221" s="5" t="e">
        <f ca="1">IF(E219&gt;0,"reduced by ","increased by ")&amp;E222</f>
        <v>#N/A</v>
      </c>
    </row>
    <row r="222" spans="2:14" x14ac:dyDescent="0.35">
      <c r="B222" s="88" t="str">
        <v>Labels</v>
      </c>
      <c r="C222" s="75">
        <v>1</v>
      </c>
      <c r="D222" s="75">
        <v>1</v>
      </c>
      <c r="E222" s="220" t="e" cm="1">
        <f t="array" aca="1" ref="E222" ca="1">TEXT((MIN(ABS(E219:E220))),"#0%")&amp;" to "&amp;TEXT((MAX(ABS(E219:E220))),"#0%")</f>
        <v>#N/A</v>
      </c>
      <c r="F222" s="21"/>
      <c r="G222" s="5"/>
    </row>
    <row r="223" spans="2:14" x14ac:dyDescent="0.35">
      <c r="B223" s="88" t="str">
        <v>Totals</v>
      </c>
      <c r="C223" s="224" t="e">
        <f ca="1">TEXT(ROUND(C219,VLOOKUP(C219,$O$191:$P$198,2,TRUE)),"$#,###") &amp;" to " &amp;TEXT(ROUND(C221,VLOOKUP(C221,$O$191:$P$198,2,TRUE)),"$#,###")&amp; "/year"</f>
        <v>#N/A</v>
      </c>
      <c r="D223" s="224" t="e">
        <f ca="1">TEXT(ROUND(D218,VLOOKUP(D218,$O$191:$P$198,2,TRUE)),"$#,###") &amp;"/year"</f>
        <v>#N/A</v>
      </c>
      <c r="E223" s="137"/>
      <c r="F223" s="90"/>
      <c r="G223" s="5"/>
    </row>
    <row r="224" spans="2:14" x14ac:dyDescent="0.35">
      <c r="E224" s="124"/>
      <c r="F224" s="21"/>
      <c r="G224" s="5"/>
    </row>
    <row r="225" spans="2:14" x14ac:dyDescent="0.35">
      <c r="B225" s="239" t="s">
        <v>157</v>
      </c>
      <c r="C225" s="240"/>
      <c r="D225" s="241"/>
      <c r="E225" s="241"/>
      <c r="F225" s="241"/>
      <c r="G225" s="242"/>
      <c r="H225" s="242"/>
      <c r="I225" s="242"/>
      <c r="J225" s="242"/>
      <c r="K225" s="243"/>
      <c r="L225" s="243"/>
      <c r="M225" s="243"/>
      <c r="N225" s="243"/>
    </row>
    <row r="226" spans="2:14" x14ac:dyDescent="0.35">
      <c r="B226" s="92"/>
      <c r="C226" s="229" t="str">
        <f>$C$190</f>
        <v>Retrofit Measure</v>
      </c>
      <c r="D226" s="7" t="str">
        <f>$D$190</f>
        <v>Business as Usual</v>
      </c>
      <c r="E226" s="230"/>
      <c r="F226" s="11"/>
      <c r="G226" s="139"/>
      <c r="H226" s="140"/>
      <c r="I226" s="141"/>
      <c r="J226" s="141"/>
      <c r="K226" s="140"/>
      <c r="L226" s="140"/>
      <c r="M226" s="140"/>
      <c r="N226" s="140"/>
    </row>
    <row r="227" spans="2:14" x14ac:dyDescent="0.35">
      <c r="B227" s="227" t="str" cm="1">
        <f t="array" ref="B227:B232">$B$191:$B$196</f>
        <v>Business as Usual</v>
      </c>
      <c r="C227" s="233"/>
      <c r="D227" s="234" t="e">
        <f ca="1">E161</f>
        <v>#N/A</v>
      </c>
      <c r="E227" s="216"/>
      <c r="F227" s="89"/>
      <c r="G227" s="5"/>
    </row>
    <row r="228" spans="2:14" x14ac:dyDescent="0.35">
      <c r="B228" s="228" t="str">
        <v>Proposed - LOW</v>
      </c>
      <c r="C228" s="87" t="e">
        <f ca="1">MIN(E162,E163)</f>
        <v>#N/A</v>
      </c>
      <c r="D228" s="234"/>
      <c r="E228" s="237">
        <f ca="1">ROUND(IFERROR((D227-C228)/D227,0),3)</f>
        <v>0</v>
      </c>
      <c r="F228" s="89"/>
      <c r="G228" s="99" t="str">
        <f ca="1">IF(AND(E228=0,E229=0),"Carbon tax is not estimated or not significant.","Annual carbon tax costs will "&amp;IF(E228&gt;0,"decrease","increase")&amp;" by "&amp;E231&amp;" in comparison to business as usual operations.")</f>
        <v>Carbon tax is not estimated or not significant.</v>
      </c>
    </row>
    <row r="229" spans="2:14" x14ac:dyDescent="0.35">
      <c r="B229" s="228" t="str">
        <v>Proposed - HIGH - Difference</v>
      </c>
      <c r="C229" s="87" t="e">
        <f ca="1">MAX(E162,E163)-C228</f>
        <v>#N/A</v>
      </c>
      <c r="D229" s="234"/>
      <c r="E229" s="237">
        <f ca="1">ROUND(IFERROR((D227-C230)/D227,0),3)</f>
        <v>0</v>
      </c>
      <c r="F229" s="89"/>
      <c r="G229" s="99" t="s">
        <v>369</v>
      </c>
    </row>
    <row r="230" spans="2:14" x14ac:dyDescent="0.35">
      <c r="B230" s="228" t="str">
        <v>Proposed - HIGH</v>
      </c>
      <c r="C230" s="87" t="e">
        <f ca="1">MAX(E162,E163)</f>
        <v>#N/A</v>
      </c>
      <c r="D230" s="234"/>
      <c r="E230" s="216"/>
      <c r="F230" s="89"/>
      <c r="G230" s="5" t="str">
        <f ca="1">IF(E231=0, "Carbon Tax is not estimated or not significant", IF(E228&gt;0,"reduced by ","increased by ")&amp;E231)</f>
        <v>Carbon Tax is not estimated or not significant</v>
      </c>
    </row>
    <row r="231" spans="2:14" x14ac:dyDescent="0.35">
      <c r="B231" s="88" t="str">
        <v>Labels</v>
      </c>
      <c r="C231" s="75">
        <v>1</v>
      </c>
      <c r="D231" s="75">
        <v>1</v>
      </c>
      <c r="E231" s="220">
        <f ca="1">IF(E228=E229,IF(MIN(E228:E229)=0,0,TEXT(MIN(E228:E229),"#0%")),TEXT(MIN(E228:E229),"#0%")&amp;" to "&amp;TEXT(MAX(E228:E229),"#0%"))</f>
        <v>0</v>
      </c>
      <c r="F231" s="21"/>
      <c r="G231" s="5"/>
    </row>
    <row r="232" spans="2:14" x14ac:dyDescent="0.35">
      <c r="B232" s="88" t="str">
        <v>Totals</v>
      </c>
      <c r="C232" s="224" t="e">
        <f ca="1">IF(C228=C230,TEXT(ROUND(C228,VLOOKUP(C228,$O$191:$P$198,2,TRUE)),"$#,###"),TEXT(ROUND(C228,VLOOKUP(C228,$O$191:$P$198,2,TRUE)),"$#,###") &amp;" to " &amp;TEXT(ROUND(C230,VLOOKUP(C230,$O$191:$P$198,2,TRUE)),"$#,###")) &amp;"/year"</f>
        <v>#N/A</v>
      </c>
      <c r="D232" s="224" t="e">
        <f ca="1">TEXT(ROUND(D227,VLOOKUP(D227,$O$191:$P$198,2,TRUE)),"$#,###")&amp;"/year"</f>
        <v>#N/A</v>
      </c>
      <c r="E232" s="137"/>
      <c r="F232" s="90"/>
      <c r="G232" s="5"/>
    </row>
    <row r="233" spans="2:14" x14ac:dyDescent="0.35">
      <c r="E233" s="124"/>
      <c r="F233" s="21"/>
      <c r="G233" s="5"/>
    </row>
    <row r="234" spans="2:14" x14ac:dyDescent="0.35">
      <c r="B234" s="239" t="s">
        <v>147</v>
      </c>
      <c r="C234" s="240"/>
      <c r="D234" s="241"/>
      <c r="E234" s="241"/>
      <c r="F234" s="241"/>
      <c r="G234" s="242"/>
      <c r="H234" s="242"/>
      <c r="I234" s="242"/>
      <c r="J234" s="242"/>
      <c r="K234" s="243"/>
      <c r="L234" s="243"/>
      <c r="M234" s="243"/>
      <c r="N234" s="243"/>
    </row>
    <row r="235" spans="2:14" x14ac:dyDescent="0.35">
      <c r="B235" s="92"/>
      <c r="C235" s="229" t="str">
        <f>$C$190</f>
        <v>Retrofit Measure</v>
      </c>
      <c r="D235" s="7" t="str">
        <f>$D$190</f>
        <v>Business as Usual</v>
      </c>
      <c r="E235" s="230"/>
      <c r="F235" s="11"/>
      <c r="G235" s="139"/>
      <c r="H235" s="140"/>
      <c r="I235" s="141"/>
      <c r="J235" s="141"/>
      <c r="K235" s="140"/>
      <c r="L235" s="140"/>
      <c r="M235" s="140"/>
      <c r="N235" s="140"/>
    </row>
    <row r="236" spans="2:14" x14ac:dyDescent="0.35">
      <c r="B236" s="227" t="str" cm="1">
        <f t="array" ref="B236:B241">$B$191:$B$196</f>
        <v>Business as Usual</v>
      </c>
      <c r="C236" s="233"/>
      <c r="D236" s="234" t="e">
        <f ca="1">F183</f>
        <v>#N/A</v>
      </c>
      <c r="E236" s="216"/>
      <c r="F236" s="89"/>
      <c r="G236" s="5"/>
    </row>
    <row r="237" spans="2:14" x14ac:dyDescent="0.35">
      <c r="B237" s="228" t="str">
        <v>Proposed - LOW</v>
      </c>
      <c r="C237" s="87" t="e">
        <f ca="1">MIN(F184,F185)</f>
        <v>#N/A</v>
      </c>
      <c r="D237" s="234"/>
      <c r="E237" s="216" t="e">
        <f ca="1">((D236-C237)/D236)</f>
        <v>#N/A</v>
      </c>
      <c r="F237" s="89"/>
      <c r="G237" s="99" t="e">
        <f ca="1">"You will spend an estimated "&amp;E240&amp;" "&amp;IF(E237&gt;0,"less","more")&amp;" over the hold period by implementing the selected retrofit in comparison to the business as usual."</f>
        <v>#N/A</v>
      </c>
    </row>
    <row r="238" spans="2:14" x14ac:dyDescent="0.35">
      <c r="B238" s="228" t="str">
        <v>Proposed - HIGH - Difference</v>
      </c>
      <c r="C238" s="87" t="e">
        <f ca="1">MAX(F184,F185)-C237</f>
        <v>#N/A</v>
      </c>
      <c r="D238" s="234"/>
      <c r="E238" s="216" t="e">
        <f ca="1">(D236-C239)/D236</f>
        <v>#N/A</v>
      </c>
      <c r="F238" s="89"/>
      <c r="G238" s="99" t="s">
        <v>370</v>
      </c>
    </row>
    <row r="239" spans="2:14" x14ac:dyDescent="0.35">
      <c r="B239" s="228" t="str">
        <v>Proposed - HIGH</v>
      </c>
      <c r="C239" s="87" t="e">
        <f ca="1">MAX(F184,F185)</f>
        <v>#N/A</v>
      </c>
      <c r="D239" s="234"/>
      <c r="E239" s="216"/>
      <c r="F239" s="89"/>
      <c r="G239" s="5" t="e">
        <f ca="1">IF(AND(E237&lt;0,E238&lt;0),"increased by "&amp;TEXT(ABS(MAX(E237:E238)),"#0%")&amp;" to "&amp;TEXT(ABS(MIN(E237:E238)),"#0%"),
IF(OR(AND(E237&gt;0,E238&lt;0),AND(E237&lt;0,E238&gt;0)),IF(MAX(E237:E238)&gt;0,"reduced by ","increased by ")&amp;TEXT(ABS(MAX(E237:E238)),"#0%")&amp;" to "&amp;IF(MIN(E237:E238)&gt;0,"reduced by ","increased by ")&amp;TEXT(ABS(MIN(E237:E238)),"#0%"),
IF(E237&gt;0,"reduced by ","increased by ")&amp;TEXT(ABS(MIN(E237:E238)),"#0%")&amp;" to "&amp;TEXT(ABS(MAX(E237:E238)),"#0%")))</f>
        <v>#N/A</v>
      </c>
    </row>
    <row r="240" spans="2:14" x14ac:dyDescent="0.35">
      <c r="B240" s="88" t="str">
        <v>Labels</v>
      </c>
      <c r="C240" s="75">
        <v>1</v>
      </c>
      <c r="D240" s="75">
        <v>1</v>
      </c>
      <c r="E240" s="220" t="e">
        <f ca="1">TEXT(ABS(MIN(E237:E238)),"#0%")&amp;" to "&amp;TEXT(ABS(MAX(E237:E238)),"#0%")</f>
        <v>#N/A</v>
      </c>
      <c r="F240" s="21"/>
      <c r="G240" s="5"/>
    </row>
    <row r="241" spans="2:14" x14ac:dyDescent="0.35">
      <c r="B241" s="88" t="str">
        <v>Totals</v>
      </c>
      <c r="C241" s="224" t="e">
        <f ca="1">TEXT(ROUND(C237,VLOOKUP(C237,$O$191:$P$198,2,TRUE)),"$#,###") &amp;" to " &amp;TEXT(ROUND(C239,VLOOKUP(C239,$O$191:$P$198,2,TRUE)),"$#,###")</f>
        <v>#N/A</v>
      </c>
      <c r="D241" s="224" t="e">
        <f ca="1">TEXT(ROUND(D236,VLOOKUP(D236,$O$191:$P$198,2,TRUE)),"$#,###")</f>
        <v>#N/A</v>
      </c>
      <c r="E241" s="137"/>
      <c r="F241" s="90"/>
      <c r="G241" s="5"/>
    </row>
    <row r="242" spans="2:14" x14ac:dyDescent="0.35">
      <c r="E242" s="21"/>
      <c r="F242" s="21"/>
      <c r="G242" s="5"/>
    </row>
    <row r="243" spans="2:14" x14ac:dyDescent="0.35">
      <c r="B243" s="239" t="s">
        <v>254</v>
      </c>
      <c r="C243" s="240"/>
      <c r="D243" s="240"/>
      <c r="E243" s="240"/>
      <c r="F243" s="240"/>
      <c r="G243" s="240"/>
      <c r="H243" s="240"/>
      <c r="I243" s="240"/>
      <c r="J243" s="240"/>
      <c r="K243" s="243"/>
      <c r="L243" s="243"/>
      <c r="M243" s="243"/>
      <c r="N243" s="243"/>
    </row>
    <row r="244" spans="2:14" x14ac:dyDescent="0.35">
      <c r="B244" s="3" t="s">
        <v>259</v>
      </c>
      <c r="C244" s="221">
        <f>IFERROR(MATCH(TRUE,_xlfn.ANCHORARRAY( F172),0)-1,0)</f>
        <v>0</v>
      </c>
      <c r="G244" s="99" t="str">
        <f>IF(OR(MIN(C244:C245)=0,MIN(C244:C245)&gt;D93),"The retrofit investment will not payback within the hold period.","In comparison to buisness as usual operations, the retrofit investment will payback in an estimated:")</f>
        <v>The retrofit investment will not payback within the hold period.</v>
      </c>
    </row>
    <row r="245" spans="2:14" x14ac:dyDescent="0.35">
      <c r="B245" s="3" t="s">
        <v>260</v>
      </c>
      <c r="C245" s="221">
        <f>IFERROR(MATCH(TRUE,_xlfn.ANCHORARRAY( F174),0)-1,30)</f>
        <v>30</v>
      </c>
      <c r="G245" t="str">
        <f>IF(C244=C245,C245&amp;IF(C245=1," year"," years"),
IF(OR(MIN(C244:C245)=0,MIN(C244:C245)&gt;D93),"-",
IF(MAX(C244:C245)&gt;D93,MIN(C244:C245)&amp;" years to no payback", MIN(C244:C245) &amp; " to " &amp; MAX(C244:C245)&amp;" years")))</f>
        <v>-</v>
      </c>
    </row>
    <row r="247" spans="2:14" x14ac:dyDescent="0.35">
      <c r="C247" s="90"/>
    </row>
  </sheetData>
  <conditionalFormatting sqref="L190">
    <cfRule type="cellIs" dxfId="6" priority="1" operator="greaterThan">
      <formula>0.3</formula>
    </cfRule>
    <cfRule type="cellIs" dxfId="5" priority="2" operator="greaterThan">
      <formula>30</formula>
    </cfRule>
  </conditionalFormatting>
  <hyperlinks>
    <hyperlink ref="F17" r:id="rId1" location=":~:text=1%20m3%20of%20natural%20gas%20is%20equal%20to%3A,35%2C300%20BTU.%2031%2C736%20kJ.%207%2C580%20kcal.%2010.55%20kWh." display="https://learnmetrics.com/m3-gas-to-kwh/ - :~:text=1%20m3%20of%20natural%20gas%20is%20equal%20to%3A,35%2C300%20BTU.%2031%2C736%20kJ.%207%2C580%20kcal.%2010.55%20kWh." xr:uid="{96BE8C26-FBA4-47FB-AC43-02E2B0B6AB1E}"/>
  </hyperlinks>
  <pageMargins left="0.7" right="0.7" top="0.75" bottom="0.75" header="0.3" footer="0.3"/>
  <pageSetup paperSize="9" scale="45" orientation="portrait"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A4AB1-B037-40E9-8CD1-36E51891C201}">
  <sheetPr>
    <tabColor theme="9" tint="0.39997558519241921"/>
    <pageSetUpPr fitToPage="1"/>
  </sheetPr>
  <dimension ref="B2:H19"/>
  <sheetViews>
    <sheetView workbookViewId="0">
      <selection activeCell="G5" sqref="G5:G16"/>
    </sheetView>
  </sheetViews>
  <sheetFormatPr defaultRowHeight="14.5" x14ac:dyDescent="0.35"/>
  <cols>
    <col min="2" max="3" width="28.1796875" customWidth="1"/>
    <col min="4" max="4" width="24.1796875" customWidth="1"/>
    <col min="5" max="5" width="24.453125" bestFit="1" customWidth="1"/>
    <col min="6" max="6" width="25.7265625" customWidth="1"/>
    <col min="7" max="7" width="35.7265625" style="172" customWidth="1"/>
    <col min="8" max="8" width="12.453125" customWidth="1"/>
  </cols>
  <sheetData>
    <row r="2" spans="2:8" ht="18.5" x14ac:dyDescent="0.45">
      <c r="B2" s="100" t="s">
        <v>172</v>
      </c>
      <c r="C2" s="100"/>
    </row>
    <row r="3" spans="2:8" x14ac:dyDescent="0.35">
      <c r="B3" t="s">
        <v>329</v>
      </c>
    </row>
    <row r="5" spans="2:8" x14ac:dyDescent="0.35">
      <c r="B5" s="13" t="s">
        <v>32</v>
      </c>
      <c r="C5" s="17" t="s">
        <v>174</v>
      </c>
      <c r="D5" s="13" t="s">
        <v>175</v>
      </c>
      <c r="E5" s="13" t="s">
        <v>176</v>
      </c>
      <c r="F5" s="13" t="s">
        <v>177</v>
      </c>
      <c r="G5" s="173" t="s">
        <v>328</v>
      </c>
    </row>
    <row r="6" spans="2:8" x14ac:dyDescent="0.35">
      <c r="B6" s="101" t="s">
        <v>158</v>
      </c>
      <c r="C6" s="101">
        <v>0</v>
      </c>
      <c r="D6" s="101">
        <v>0</v>
      </c>
      <c r="E6" s="101">
        <v>0</v>
      </c>
      <c r="F6" s="101">
        <v>0</v>
      </c>
      <c r="G6" s="174"/>
    </row>
    <row r="7" spans="2:8" x14ac:dyDescent="0.35">
      <c r="B7" s="19" t="s">
        <v>178</v>
      </c>
      <c r="C7" s="19">
        <v>14</v>
      </c>
      <c r="D7" s="18">
        <v>270</v>
      </c>
      <c r="E7" s="18">
        <v>219</v>
      </c>
      <c r="F7" s="18">
        <f>SUM(D7:E7)</f>
        <v>489</v>
      </c>
      <c r="G7" s="175" t="s">
        <v>310</v>
      </c>
      <c r="H7" s="122"/>
    </row>
    <row r="8" spans="2:8" x14ac:dyDescent="0.35">
      <c r="B8" s="19" t="s">
        <v>179</v>
      </c>
      <c r="C8" s="19">
        <v>4</v>
      </c>
      <c r="D8" s="18">
        <v>201</v>
      </c>
      <c r="E8" s="18">
        <v>284</v>
      </c>
      <c r="F8" s="18">
        <f t="shared" ref="F8:F11" si="0">SUM(D8:E8)</f>
        <v>485</v>
      </c>
      <c r="G8" s="175" t="s">
        <v>309</v>
      </c>
      <c r="H8" s="122"/>
    </row>
    <row r="9" spans="2:8" ht="29" x14ac:dyDescent="0.35">
      <c r="B9" s="19" t="s">
        <v>180</v>
      </c>
      <c r="C9" s="19">
        <v>13</v>
      </c>
      <c r="D9" s="18">
        <v>159</v>
      </c>
      <c r="E9" s="18">
        <v>231</v>
      </c>
      <c r="F9" s="18">
        <f t="shared" si="0"/>
        <v>390</v>
      </c>
      <c r="G9" s="175" t="s">
        <v>308</v>
      </c>
      <c r="H9" s="122"/>
    </row>
    <row r="10" spans="2:8" x14ac:dyDescent="0.35">
      <c r="B10" s="19" t="s">
        <v>181</v>
      </c>
      <c r="C10" s="19">
        <v>10</v>
      </c>
      <c r="D10" s="18">
        <v>149</v>
      </c>
      <c r="E10" s="18">
        <v>204</v>
      </c>
      <c r="F10" s="18">
        <f t="shared" si="0"/>
        <v>353</v>
      </c>
      <c r="G10" s="175" t="s">
        <v>314</v>
      </c>
      <c r="H10" s="122"/>
    </row>
    <row r="11" spans="2:8" ht="29" x14ac:dyDescent="0.35">
      <c r="B11" s="19" t="s">
        <v>159</v>
      </c>
      <c r="C11" s="19">
        <v>7</v>
      </c>
      <c r="D11" s="18">
        <v>127</v>
      </c>
      <c r="E11" s="18">
        <v>248</v>
      </c>
      <c r="F11" s="18">
        <f t="shared" si="0"/>
        <v>375</v>
      </c>
      <c r="G11" s="175" t="s">
        <v>315</v>
      </c>
      <c r="H11" s="122"/>
    </row>
    <row r="12" spans="2:8" x14ac:dyDescent="0.35">
      <c r="B12" s="19" t="s">
        <v>182</v>
      </c>
      <c r="C12" s="19">
        <v>30</v>
      </c>
      <c r="D12" s="18">
        <v>147</v>
      </c>
      <c r="E12" s="18">
        <v>43</v>
      </c>
      <c r="F12" s="18">
        <f>SUM(D12:E12)</f>
        <v>190</v>
      </c>
      <c r="G12" s="175" t="s">
        <v>316</v>
      </c>
      <c r="H12" s="122"/>
    </row>
    <row r="13" spans="2:8" x14ac:dyDescent="0.35">
      <c r="B13" s="19" t="s">
        <v>209</v>
      </c>
      <c r="C13" s="19">
        <v>23</v>
      </c>
      <c r="D13" s="18">
        <v>203</v>
      </c>
      <c r="E13" s="18">
        <v>38</v>
      </c>
      <c r="F13" s="18">
        <f t="shared" ref="F13:F16" si="1">SUM(D13:E13)</f>
        <v>241</v>
      </c>
      <c r="G13" s="175" t="s">
        <v>317</v>
      </c>
      <c r="H13" s="122"/>
    </row>
    <row r="14" spans="2:8" x14ac:dyDescent="0.35">
      <c r="B14" s="19" t="s">
        <v>183</v>
      </c>
      <c r="C14" s="19">
        <v>8</v>
      </c>
      <c r="D14" s="18">
        <v>234</v>
      </c>
      <c r="E14" s="18">
        <v>107</v>
      </c>
      <c r="F14" s="18">
        <f t="shared" si="1"/>
        <v>341</v>
      </c>
      <c r="G14" s="175" t="s">
        <v>312</v>
      </c>
      <c r="H14" s="122"/>
    </row>
    <row r="15" spans="2:8" x14ac:dyDescent="0.35">
      <c r="B15" s="19" t="s">
        <v>161</v>
      </c>
      <c r="C15" s="19">
        <v>12</v>
      </c>
      <c r="D15" s="18">
        <v>215</v>
      </c>
      <c r="E15" s="18">
        <v>93</v>
      </c>
      <c r="F15" s="18">
        <f t="shared" si="1"/>
        <v>308</v>
      </c>
      <c r="G15" s="175" t="s">
        <v>313</v>
      </c>
      <c r="H15" s="122"/>
    </row>
    <row r="16" spans="2:8" x14ac:dyDescent="0.35">
      <c r="B16" s="19" t="s">
        <v>160</v>
      </c>
      <c r="C16" s="19">
        <v>22</v>
      </c>
      <c r="D16" s="18">
        <v>268</v>
      </c>
      <c r="E16" s="18">
        <v>322</v>
      </c>
      <c r="F16" s="18">
        <f t="shared" si="1"/>
        <v>590</v>
      </c>
      <c r="G16" s="175" t="s">
        <v>311</v>
      </c>
      <c r="H16" s="122"/>
    </row>
    <row r="19" spans="2:2" x14ac:dyDescent="0.35">
      <c r="B19" s="19"/>
    </row>
  </sheetData>
  <pageMargins left="0.7" right="0.7" top="0.75" bottom="0.75" header="0.3" footer="0.3"/>
  <pageSetup paperSize="9"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8A124-BCDE-4D22-9DAC-E617DC68CF35}">
  <sheetPr>
    <tabColor theme="9" tint="0.39997558519241921"/>
  </sheetPr>
  <dimension ref="B1:AN75"/>
  <sheetViews>
    <sheetView zoomScale="55" zoomScaleNormal="55" workbookViewId="0">
      <selection activeCell="I11" sqref="I11"/>
    </sheetView>
  </sheetViews>
  <sheetFormatPr defaultRowHeight="14.5" x14ac:dyDescent="0.35"/>
  <cols>
    <col min="1" max="1" width="3.453125" customWidth="1"/>
    <col min="2" max="2" width="29" customWidth="1"/>
    <col min="5" max="5" width="12" customWidth="1"/>
    <col min="6" max="6" width="32.54296875" bestFit="1" customWidth="1"/>
    <col min="7" max="7" width="21.26953125" customWidth="1"/>
    <col min="8" max="9" width="25.26953125" customWidth="1"/>
    <col min="11" max="11" width="87" customWidth="1"/>
    <col min="13" max="13" width="34.54296875" customWidth="1"/>
    <col min="14" max="14" width="24.7265625" customWidth="1"/>
    <col min="16" max="16" width="13.26953125" customWidth="1"/>
  </cols>
  <sheetData>
    <row r="1" spans="2:40" x14ac:dyDescent="0.35">
      <c r="O1">
        <v>2025</v>
      </c>
      <c r="P1">
        <v>2026</v>
      </c>
      <c r="Q1">
        <v>2027</v>
      </c>
      <c r="R1">
        <v>2028</v>
      </c>
      <c r="S1">
        <v>2029</v>
      </c>
      <c r="T1">
        <v>2030</v>
      </c>
      <c r="U1">
        <v>2031</v>
      </c>
      <c r="V1">
        <v>2032</v>
      </c>
      <c r="W1">
        <v>2033</v>
      </c>
      <c r="X1">
        <v>2034</v>
      </c>
      <c r="Y1">
        <v>2035</v>
      </c>
      <c r="Z1">
        <v>2036</v>
      </c>
      <c r="AA1">
        <v>2037</v>
      </c>
      <c r="AB1">
        <v>2038</v>
      </c>
      <c r="AC1">
        <v>2039</v>
      </c>
      <c r="AD1">
        <v>2040</v>
      </c>
      <c r="AE1">
        <v>2041</v>
      </c>
      <c r="AF1">
        <v>2042</v>
      </c>
      <c r="AG1">
        <v>2043</v>
      </c>
      <c r="AH1">
        <v>2044</v>
      </c>
      <c r="AI1">
        <v>2045</v>
      </c>
      <c r="AJ1">
        <v>2046</v>
      </c>
      <c r="AK1">
        <v>2047</v>
      </c>
      <c r="AL1">
        <v>2048</v>
      </c>
      <c r="AM1">
        <v>2049</v>
      </c>
      <c r="AN1">
        <v>2050</v>
      </c>
    </row>
    <row r="2" spans="2:40" x14ac:dyDescent="0.35">
      <c r="B2" s="102" t="s">
        <v>32</v>
      </c>
      <c r="C2" s="16" t="s">
        <v>184</v>
      </c>
      <c r="D2" s="102" t="s">
        <v>185</v>
      </c>
      <c r="E2" s="45" t="s">
        <v>210</v>
      </c>
      <c r="F2" s="23" t="s">
        <v>164</v>
      </c>
      <c r="G2" s="23" t="s">
        <v>165</v>
      </c>
      <c r="H2" s="45" t="s">
        <v>325</v>
      </c>
      <c r="I2" s="45" t="s">
        <v>337</v>
      </c>
      <c r="K2" s="45" t="s">
        <v>186</v>
      </c>
      <c r="M2" s="23" t="s">
        <v>166</v>
      </c>
      <c r="N2" s="23" t="s">
        <v>30</v>
      </c>
      <c r="O2" s="23">
        <v>2025</v>
      </c>
      <c r="P2" s="23"/>
      <c r="Q2" s="23"/>
      <c r="R2" s="23"/>
      <c r="S2" s="23"/>
      <c r="T2" s="23">
        <v>2030</v>
      </c>
      <c r="U2" s="23"/>
      <c r="V2" s="23"/>
      <c r="W2" s="23"/>
      <c r="X2" s="23"/>
      <c r="Y2" s="23">
        <v>2035</v>
      </c>
      <c r="Z2" s="23"/>
      <c r="AA2" s="23"/>
      <c r="AB2" s="23"/>
      <c r="AC2" s="23"/>
      <c r="AD2" s="23">
        <v>2040</v>
      </c>
      <c r="AE2" s="23"/>
      <c r="AF2" s="23"/>
      <c r="AG2" s="23"/>
      <c r="AH2" s="23"/>
      <c r="AI2" s="23">
        <v>2045</v>
      </c>
      <c r="AJ2" s="23"/>
      <c r="AK2" s="23"/>
      <c r="AL2" s="23"/>
      <c r="AM2" s="23"/>
      <c r="AN2" s="23">
        <v>2050</v>
      </c>
    </row>
    <row r="3" spans="2:40" x14ac:dyDescent="0.35">
      <c r="B3" s="19" t="str" cm="1">
        <f t="array" ref="B3:B12">_xlfn.UNIQUE(_xlfn._xlws.FILTER('Retrofit Data'!D7:D165,'Retrofit Data'!D7:D165&lt;&gt;""))</f>
        <v>Mid Rise Office</v>
      </c>
      <c r="C3" s="103" t="s">
        <v>187</v>
      </c>
      <c r="D3" s="2">
        <v>2025</v>
      </c>
      <c r="E3" s="2">
        <v>5</v>
      </c>
      <c r="F3" s="2" t="s">
        <v>167</v>
      </c>
      <c r="G3" s="2" t="s">
        <v>168</v>
      </c>
      <c r="H3" s="2" t="s">
        <v>326</v>
      </c>
      <c r="I3" t="str" cm="1">
        <f t="array" ref="I3:I8">_xlfn._xlws.FILTER('Retrofit Data'!D6:D201,(ISNUMBER(SEARCH("gas",'Retrofit Data'!C6:C201))),"")</f>
        <v>Educational Facility</v>
      </c>
      <c r="K3" cm="1">
        <f t="array" ref="K3:K75">_xlfn._xlws.FILTER('Retrofit Data'!C7:C165,'Retrofit Data'!D7:D165='Tool Calc Sheet'!D5,"")</f>
        <v>0</v>
      </c>
    </row>
    <row r="4" spans="2:40" x14ac:dyDescent="0.35">
      <c r="B4" s="19" t="str">
        <v>Educational Facility</v>
      </c>
      <c r="C4" s="103" t="s">
        <v>168</v>
      </c>
      <c r="D4" s="2">
        <v>2026</v>
      </c>
      <c r="E4" s="2">
        <v>10</v>
      </c>
      <c r="F4" s="2" t="s">
        <v>169</v>
      </c>
      <c r="G4" s="2" t="s">
        <v>187</v>
      </c>
      <c r="H4" s="2" t="s">
        <v>327</v>
      </c>
      <c r="I4" t="str">
        <v>Mixed Use</v>
      </c>
      <c r="K4">
        <v>0</v>
      </c>
      <c r="M4" t="s">
        <v>319</v>
      </c>
      <c r="N4" s="7" t="s">
        <v>4</v>
      </c>
      <c r="O4" s="2">
        <v>9.5000000000000001E-2</v>
      </c>
      <c r="P4" s="2">
        <v>0.11</v>
      </c>
      <c r="Q4" s="2">
        <v>0.125</v>
      </c>
      <c r="R4" s="2">
        <v>0.14000000000000001</v>
      </c>
      <c r="S4" s="2">
        <v>0.155</v>
      </c>
      <c r="T4" s="2">
        <v>0.17</v>
      </c>
      <c r="U4" s="2">
        <v>0.185</v>
      </c>
      <c r="V4" s="2">
        <v>0.2</v>
      </c>
      <c r="W4" s="2">
        <v>0.215</v>
      </c>
      <c r="X4" s="2">
        <v>0.23</v>
      </c>
      <c r="Y4" s="2">
        <v>0.245</v>
      </c>
      <c r="Z4" s="2">
        <v>0.26</v>
      </c>
      <c r="AA4" s="2">
        <v>0.27500000000000002</v>
      </c>
      <c r="AB4" s="2">
        <v>0.28999999999999998</v>
      </c>
      <c r="AC4" s="2">
        <v>0.30499999999999999</v>
      </c>
      <c r="AD4" s="2">
        <v>0.32</v>
      </c>
      <c r="AE4" s="2">
        <v>0.33500000000000002</v>
      </c>
      <c r="AF4" s="2">
        <v>0.35</v>
      </c>
      <c r="AG4" s="2">
        <v>0.36499999999999999</v>
      </c>
      <c r="AH4" s="2">
        <v>0.38</v>
      </c>
      <c r="AI4" s="2">
        <v>0.39500000000000002</v>
      </c>
      <c r="AJ4" s="2">
        <v>0.41</v>
      </c>
      <c r="AK4" s="2">
        <v>0.42499999999999999</v>
      </c>
      <c r="AL4" s="2">
        <v>0.44</v>
      </c>
      <c r="AM4" s="2">
        <v>0.45500000000000002</v>
      </c>
      <c r="AN4" s="2">
        <v>0.47</v>
      </c>
    </row>
    <row r="5" spans="2:40" x14ac:dyDescent="0.35">
      <c r="B5" s="19" t="str">
        <v>Big Box Store</v>
      </c>
      <c r="D5" s="2">
        <v>2027</v>
      </c>
      <c r="E5" s="2">
        <v>15</v>
      </c>
      <c r="F5" s="2" t="s">
        <v>170</v>
      </c>
      <c r="I5" t="str">
        <v>Condominium</v>
      </c>
      <c r="K5">
        <v>0</v>
      </c>
      <c r="M5" t="s">
        <v>18</v>
      </c>
      <c r="N5" s="7" t="s">
        <v>4</v>
      </c>
      <c r="O5" s="2">
        <v>9.5000000000000001E-2</v>
      </c>
      <c r="P5" s="2">
        <v>0.125</v>
      </c>
      <c r="Q5" s="2">
        <v>0.155</v>
      </c>
      <c r="R5" s="2">
        <v>0.185</v>
      </c>
      <c r="S5" s="2">
        <v>0.215</v>
      </c>
      <c r="T5" s="2">
        <v>0.245</v>
      </c>
      <c r="U5" s="2">
        <v>0.27500000000000002</v>
      </c>
      <c r="V5" s="2">
        <v>0.30499999999999999</v>
      </c>
      <c r="W5" s="2">
        <v>0.33500000000000002</v>
      </c>
      <c r="X5" s="2">
        <v>0.36499999999999999</v>
      </c>
      <c r="Y5" s="2">
        <v>0.39500000000000002</v>
      </c>
      <c r="Z5" s="2">
        <v>0.42499999999999999</v>
      </c>
      <c r="AA5" s="2">
        <v>0.45500000000000002</v>
      </c>
      <c r="AB5" s="2">
        <v>0.48499999999999999</v>
      </c>
      <c r="AC5" s="2">
        <v>0.51500000000000001</v>
      </c>
      <c r="AD5" s="2">
        <v>0.54500000000000004</v>
      </c>
      <c r="AE5" s="2">
        <v>0.57499999999999996</v>
      </c>
      <c r="AF5" s="2">
        <v>0.60499999999999998</v>
      </c>
      <c r="AG5" s="2">
        <v>0.63500000000000001</v>
      </c>
      <c r="AH5" s="2">
        <v>0.66500000000000004</v>
      </c>
      <c r="AI5" s="2">
        <v>0.69499999999999995</v>
      </c>
      <c r="AJ5" s="2">
        <v>0.72499999999999998</v>
      </c>
      <c r="AK5" s="2">
        <v>0.755</v>
      </c>
      <c r="AL5" s="2">
        <v>0.78500000000000003</v>
      </c>
      <c r="AM5" s="2">
        <v>0.81499999999999995</v>
      </c>
      <c r="AN5" s="2">
        <v>0.84499999999999997</v>
      </c>
    </row>
    <row r="6" spans="2:40" x14ac:dyDescent="0.35">
      <c r="B6" s="19" t="str">
        <v>Low Rise Office</v>
      </c>
      <c r="D6" s="2">
        <v>2028</v>
      </c>
      <c r="E6" s="2">
        <v>20</v>
      </c>
      <c r="I6" t="str">
        <v>Low Rise Rental Apartment</v>
      </c>
      <c r="K6">
        <v>0</v>
      </c>
      <c r="M6" t="s">
        <v>235</v>
      </c>
      <c r="N6" s="7" t="s">
        <v>4</v>
      </c>
      <c r="O6" s="18">
        <f>'Life Cycle Cost Analysis'!R47</f>
        <v>0</v>
      </c>
      <c r="P6" s="18">
        <f>(O6-T6)/(O1-T1)+O6</f>
        <v>0</v>
      </c>
      <c r="Q6" s="18">
        <f>(O6-T6)/(O1-T1)+P6</f>
        <v>0</v>
      </c>
      <c r="R6" s="18">
        <f>(O6-T6)/(O1-T1)+Q6</f>
        <v>0</v>
      </c>
      <c r="S6" s="18">
        <f>(O6-T6)/(O1-T1)+R6</f>
        <v>0</v>
      </c>
      <c r="T6" s="18">
        <f>'Life Cycle Cost Analysis'!S47</f>
        <v>0</v>
      </c>
      <c r="U6" s="18">
        <f>(T6-Y6)/(T1-Y1)+T6</f>
        <v>0</v>
      </c>
      <c r="V6" s="18">
        <f>(T6-Y6)/(T1-Y1)+U6</f>
        <v>0</v>
      </c>
      <c r="W6" s="18">
        <f>(T6-Y6)/(T1-Y1)+V6</f>
        <v>0</v>
      </c>
      <c r="X6" s="18">
        <f>(T6-Y6)/(T1-Y1)+W6</f>
        <v>0</v>
      </c>
      <c r="Y6" s="18">
        <f>'Life Cycle Cost Analysis'!T47</f>
        <v>0</v>
      </c>
      <c r="Z6" s="18">
        <f>(Y6-AD6)/(Y1-AD1)+Y6</f>
        <v>0</v>
      </c>
      <c r="AA6" s="18">
        <f>(Y6-AD6)/(Y1-AD1)+Z6</f>
        <v>0</v>
      </c>
      <c r="AB6" s="18">
        <f>(Y6-AD6)/(Y1-AD1)+AA6</f>
        <v>0</v>
      </c>
      <c r="AC6" s="18">
        <f>(Y6-AD6)/(Y1-AD1)+AB6</f>
        <v>0</v>
      </c>
      <c r="AD6" s="18">
        <f>'Life Cycle Cost Analysis'!U47</f>
        <v>0</v>
      </c>
      <c r="AE6" s="18">
        <f>(AD6-AI6)/(AD1-AI1)+AD6</f>
        <v>0</v>
      </c>
      <c r="AF6" s="18">
        <f>(AD6-AI6)/(AD1-AI1)+AE6</f>
        <v>0</v>
      </c>
      <c r="AG6" s="18">
        <f>(AD6-AI6)/(AD1-AI1)+AF6</f>
        <v>0</v>
      </c>
      <c r="AH6" s="18">
        <f>(AD6-AI6)/(AD1-AI1)+AG6</f>
        <v>0</v>
      </c>
      <c r="AI6" s="18">
        <f>'Life Cycle Cost Analysis'!V47</f>
        <v>0</v>
      </c>
      <c r="AJ6" s="18">
        <f>(AI6-AN6)/(AI1-AN1)+AI6</f>
        <v>0</v>
      </c>
      <c r="AK6" s="18">
        <f>(AI6-AN6)/(AI1-AN1)+AJ6</f>
        <v>0</v>
      </c>
      <c r="AL6" s="18">
        <f>(AI6-AN6)/(AI1-AN1)+AK6</f>
        <v>0</v>
      </c>
      <c r="AM6" s="18">
        <f>(AI6-AN6)/(AI1-AN1)+AL6</f>
        <v>0</v>
      </c>
      <c r="AN6" s="18">
        <f>'Life Cycle Cost Analysis'!W47</f>
        <v>0</v>
      </c>
    </row>
    <row r="7" spans="2:40" x14ac:dyDescent="0.35">
      <c r="B7" s="19" t="str">
        <v>Strip Mall</v>
      </c>
      <c r="D7" s="2">
        <v>2029</v>
      </c>
      <c r="E7" s="2">
        <v>25</v>
      </c>
      <c r="I7" t="str">
        <v>Single Family Home Attached</v>
      </c>
      <c r="K7">
        <v>0</v>
      </c>
      <c r="M7" t="s">
        <v>234</v>
      </c>
      <c r="N7" s="7" t="s">
        <v>4</v>
      </c>
      <c r="O7" s="2">
        <v>0</v>
      </c>
      <c r="P7" s="2">
        <v>0</v>
      </c>
      <c r="Q7" s="2">
        <v>0</v>
      </c>
      <c r="R7" s="2">
        <v>0</v>
      </c>
      <c r="S7" s="2">
        <v>0</v>
      </c>
      <c r="T7" s="2">
        <v>0</v>
      </c>
      <c r="U7" s="2">
        <v>0</v>
      </c>
      <c r="V7" s="2">
        <v>0</v>
      </c>
      <c r="W7" s="2">
        <v>0</v>
      </c>
      <c r="X7" s="2">
        <v>0</v>
      </c>
      <c r="Y7" s="2">
        <v>0</v>
      </c>
      <c r="Z7" s="2">
        <v>0</v>
      </c>
      <c r="AA7" s="2">
        <v>0</v>
      </c>
      <c r="AB7" s="2">
        <v>0</v>
      </c>
      <c r="AC7" s="2">
        <v>0</v>
      </c>
      <c r="AD7" s="2">
        <v>0</v>
      </c>
      <c r="AE7" s="2">
        <v>0</v>
      </c>
      <c r="AF7" s="2">
        <v>0</v>
      </c>
      <c r="AG7" s="2">
        <v>0</v>
      </c>
      <c r="AH7" s="2">
        <v>0</v>
      </c>
      <c r="AI7" s="2">
        <v>0</v>
      </c>
      <c r="AJ7" s="2">
        <v>0</v>
      </c>
      <c r="AK7" s="2">
        <v>0</v>
      </c>
      <c r="AL7" s="2">
        <v>0</v>
      </c>
      <c r="AM7" s="2">
        <v>0</v>
      </c>
      <c r="AN7" s="2">
        <v>0</v>
      </c>
    </row>
    <row r="8" spans="2:40" x14ac:dyDescent="0.35">
      <c r="B8" s="19" t="str">
        <v>Mixed Use</v>
      </c>
      <c r="D8" s="2">
        <v>2030</v>
      </c>
      <c r="E8" s="2">
        <v>30</v>
      </c>
      <c r="I8" t="str">
        <v>Single Family Home Detached</v>
      </c>
      <c r="K8">
        <v>0</v>
      </c>
    </row>
    <row r="9" spans="2:40" x14ac:dyDescent="0.35">
      <c r="B9" s="19" t="str">
        <v>Condominium</v>
      </c>
      <c r="D9" s="2">
        <v>2031</v>
      </c>
      <c r="K9">
        <v>0</v>
      </c>
      <c r="M9" s="23" t="s">
        <v>223</v>
      </c>
      <c r="N9" s="23" t="s">
        <v>30</v>
      </c>
      <c r="O9" s="23" t="s">
        <v>218</v>
      </c>
      <c r="P9" s="23" t="s">
        <v>219</v>
      </c>
      <c r="Q9" s="23" t="s">
        <v>220</v>
      </c>
      <c r="R9" s="23" t="s">
        <v>221</v>
      </c>
      <c r="S9" s="23" t="s">
        <v>222</v>
      </c>
      <c r="T9" s="23" t="s">
        <v>222</v>
      </c>
      <c r="U9" s="23" t="s">
        <v>31</v>
      </c>
    </row>
    <row r="10" spans="2:40" x14ac:dyDescent="0.35">
      <c r="B10" s="19" t="str">
        <v>Low Rise Rental Apartment</v>
      </c>
      <c r="D10" s="2">
        <v>2032</v>
      </c>
      <c r="K10">
        <v>0</v>
      </c>
      <c r="M10" t="s">
        <v>217</v>
      </c>
      <c r="N10" t="s">
        <v>321</v>
      </c>
      <c r="O10" s="2">
        <v>0.05</v>
      </c>
      <c r="P10" s="2">
        <v>0.05</v>
      </c>
      <c r="Q10" s="2">
        <v>0.03</v>
      </c>
      <c r="R10" s="2">
        <v>1.4999999999999999E-2</v>
      </c>
      <c r="S10" s="2">
        <v>0.01</v>
      </c>
      <c r="T10" s="2">
        <v>0.01</v>
      </c>
    </row>
    <row r="11" spans="2:40" x14ac:dyDescent="0.35">
      <c r="B11" s="19" t="str">
        <v>Single Family Home Attached</v>
      </c>
      <c r="D11" s="2">
        <v>2033</v>
      </c>
      <c r="K11">
        <v>0</v>
      </c>
      <c r="M11" t="s">
        <v>224</v>
      </c>
      <c r="N11" t="s">
        <v>226</v>
      </c>
      <c r="O11" s="2">
        <v>7.5999999999999998E-2</v>
      </c>
      <c r="U11" t="s">
        <v>227</v>
      </c>
    </row>
    <row r="12" spans="2:40" x14ac:dyDescent="0.35">
      <c r="B12" s="19" t="str">
        <v>Single Family Home Detached</v>
      </c>
      <c r="D12" s="2">
        <v>2034</v>
      </c>
      <c r="K12">
        <v>0</v>
      </c>
      <c r="N12" t="s">
        <v>228</v>
      </c>
      <c r="O12" s="2">
        <f>O11/O20</f>
        <v>0.21718829665774589</v>
      </c>
    </row>
    <row r="13" spans="2:40" x14ac:dyDescent="0.35">
      <c r="D13" s="2">
        <v>2035</v>
      </c>
      <c r="K13">
        <v>0</v>
      </c>
      <c r="M13" t="s">
        <v>225</v>
      </c>
      <c r="N13" t="s">
        <v>232</v>
      </c>
      <c r="O13" s="2">
        <v>2.3E-2</v>
      </c>
      <c r="U13" t="s">
        <v>227</v>
      </c>
    </row>
    <row r="14" spans="2:40" x14ac:dyDescent="0.35">
      <c r="D14" s="2">
        <v>2036</v>
      </c>
      <c r="K14">
        <v>0</v>
      </c>
      <c r="N14" t="s">
        <v>228</v>
      </c>
      <c r="O14" s="2">
        <f>O13/O21</f>
        <v>6.5399381300999017E-3</v>
      </c>
    </row>
    <row r="15" spans="2:40" x14ac:dyDescent="0.35">
      <c r="D15" s="2">
        <v>2037</v>
      </c>
      <c r="K15">
        <v>0</v>
      </c>
      <c r="M15" t="s">
        <v>336</v>
      </c>
      <c r="N15" t="s">
        <v>228</v>
      </c>
      <c r="O15" s="2">
        <v>0.05</v>
      </c>
    </row>
    <row r="16" spans="2:40" x14ac:dyDescent="0.35">
      <c r="D16" s="2">
        <v>2038</v>
      </c>
      <c r="K16">
        <v>0</v>
      </c>
    </row>
    <row r="17" spans="4:23" x14ac:dyDescent="0.35">
      <c r="D17" s="2">
        <v>2039</v>
      </c>
      <c r="K17">
        <v>0</v>
      </c>
    </row>
    <row r="18" spans="4:23" x14ac:dyDescent="0.35">
      <c r="D18" s="2">
        <v>2040</v>
      </c>
      <c r="K18">
        <v>0</v>
      </c>
      <c r="M18" s="23" t="s">
        <v>322</v>
      </c>
      <c r="N18" s="23" t="s">
        <v>30</v>
      </c>
      <c r="O18" s="23"/>
      <c r="P18" s="23" t="s">
        <v>323</v>
      </c>
      <c r="Q18" s="23"/>
      <c r="R18" s="123"/>
      <c r="S18" s="123"/>
      <c r="T18" s="123"/>
      <c r="U18" s="123"/>
      <c r="V18" s="123"/>
      <c r="W18" s="123"/>
    </row>
    <row r="19" spans="4:23" x14ac:dyDescent="0.35">
      <c r="D19" s="2">
        <v>2041</v>
      </c>
      <c r="K19">
        <v>0</v>
      </c>
      <c r="N19" t="s">
        <v>230</v>
      </c>
      <c r="O19" s="2">
        <v>1194</v>
      </c>
      <c r="P19" t="s">
        <v>229</v>
      </c>
    </row>
    <row r="20" spans="4:23" x14ac:dyDescent="0.35">
      <c r="D20" s="2">
        <v>2042</v>
      </c>
      <c r="K20">
        <v>0</v>
      </c>
      <c r="N20" t="s">
        <v>231</v>
      </c>
      <c r="O20" s="2">
        <f>O19*0.000293071</f>
        <v>0.349926774</v>
      </c>
      <c r="P20" t="s">
        <v>229</v>
      </c>
    </row>
    <row r="21" spans="4:23" x14ac:dyDescent="0.35">
      <c r="D21" s="2">
        <v>2043</v>
      </c>
      <c r="K21">
        <v>0</v>
      </c>
      <c r="N21" t="s">
        <v>233</v>
      </c>
      <c r="O21" s="2">
        <v>3.5168528421</v>
      </c>
      <c r="P21" t="s">
        <v>229</v>
      </c>
    </row>
    <row r="22" spans="4:23" x14ac:dyDescent="0.35">
      <c r="D22" s="2">
        <v>2044</v>
      </c>
      <c r="K22">
        <v>0</v>
      </c>
    </row>
    <row r="23" spans="4:23" x14ac:dyDescent="0.35">
      <c r="D23" s="2">
        <v>2045</v>
      </c>
      <c r="K23">
        <v>0</v>
      </c>
    </row>
    <row r="24" spans="4:23" x14ac:dyDescent="0.35">
      <c r="D24" s="2">
        <v>2046</v>
      </c>
      <c r="K24">
        <v>0</v>
      </c>
    </row>
    <row r="25" spans="4:23" x14ac:dyDescent="0.35">
      <c r="D25" s="2">
        <v>2047</v>
      </c>
      <c r="K25">
        <v>0</v>
      </c>
    </row>
    <row r="26" spans="4:23" x14ac:dyDescent="0.35">
      <c r="D26" s="2">
        <v>2048</v>
      </c>
      <c r="K26">
        <v>0</v>
      </c>
    </row>
    <row r="27" spans="4:23" x14ac:dyDescent="0.35">
      <c r="D27" s="2">
        <v>2049</v>
      </c>
      <c r="K27">
        <v>0</v>
      </c>
    </row>
    <row r="28" spans="4:23" x14ac:dyDescent="0.35">
      <c r="D28" s="2">
        <v>2050</v>
      </c>
      <c r="K28">
        <v>0</v>
      </c>
    </row>
    <row r="29" spans="4:23" x14ac:dyDescent="0.35">
      <c r="D29" s="2"/>
      <c r="K29">
        <v>0</v>
      </c>
    </row>
    <row r="30" spans="4:23" x14ac:dyDescent="0.35">
      <c r="K30">
        <v>0</v>
      </c>
    </row>
    <row r="31" spans="4:23" x14ac:dyDescent="0.35">
      <c r="K31">
        <v>0</v>
      </c>
    </row>
    <row r="32" spans="4:23" x14ac:dyDescent="0.35">
      <c r="K32">
        <v>0</v>
      </c>
    </row>
    <row r="33" spans="11:11" x14ac:dyDescent="0.35">
      <c r="K33">
        <v>0</v>
      </c>
    </row>
    <row r="34" spans="11:11" x14ac:dyDescent="0.35">
      <c r="K34">
        <v>0</v>
      </c>
    </row>
    <row r="35" spans="11:11" x14ac:dyDescent="0.35">
      <c r="K35">
        <v>0</v>
      </c>
    </row>
    <row r="36" spans="11:11" x14ac:dyDescent="0.35">
      <c r="K36">
        <v>0</v>
      </c>
    </row>
    <row r="37" spans="11:11" x14ac:dyDescent="0.35">
      <c r="K37">
        <v>0</v>
      </c>
    </row>
    <row r="38" spans="11:11" x14ac:dyDescent="0.35">
      <c r="K38">
        <v>0</v>
      </c>
    </row>
    <row r="39" spans="11:11" x14ac:dyDescent="0.35">
      <c r="K39">
        <v>0</v>
      </c>
    </row>
    <row r="40" spans="11:11" x14ac:dyDescent="0.35">
      <c r="K40">
        <v>0</v>
      </c>
    </row>
    <row r="41" spans="11:11" x14ac:dyDescent="0.35">
      <c r="K41">
        <v>0</v>
      </c>
    </row>
    <row r="42" spans="11:11" x14ac:dyDescent="0.35">
      <c r="K42">
        <v>0</v>
      </c>
    </row>
    <row r="43" spans="11:11" x14ac:dyDescent="0.35">
      <c r="K43">
        <v>0</v>
      </c>
    </row>
    <row r="44" spans="11:11" x14ac:dyDescent="0.35">
      <c r="K44">
        <v>0</v>
      </c>
    </row>
    <row r="45" spans="11:11" x14ac:dyDescent="0.35">
      <c r="K45">
        <v>0</v>
      </c>
    </row>
    <row r="46" spans="11:11" x14ac:dyDescent="0.35">
      <c r="K46">
        <v>0</v>
      </c>
    </row>
    <row r="47" spans="11:11" x14ac:dyDescent="0.35">
      <c r="K47">
        <v>0</v>
      </c>
    </row>
    <row r="48" spans="11:11" x14ac:dyDescent="0.35">
      <c r="K48">
        <v>0</v>
      </c>
    </row>
    <row r="49" spans="11:11" x14ac:dyDescent="0.35">
      <c r="K49">
        <v>0</v>
      </c>
    </row>
    <row r="50" spans="11:11" x14ac:dyDescent="0.35">
      <c r="K50">
        <v>0</v>
      </c>
    </row>
    <row r="51" spans="11:11" x14ac:dyDescent="0.35">
      <c r="K51">
        <v>0</v>
      </c>
    </row>
    <row r="52" spans="11:11" x14ac:dyDescent="0.35">
      <c r="K52">
        <v>0</v>
      </c>
    </row>
    <row r="53" spans="11:11" x14ac:dyDescent="0.35">
      <c r="K53">
        <v>0</v>
      </c>
    </row>
    <row r="54" spans="11:11" x14ac:dyDescent="0.35">
      <c r="K54">
        <v>0</v>
      </c>
    </row>
    <row r="55" spans="11:11" x14ac:dyDescent="0.35">
      <c r="K55">
        <v>0</v>
      </c>
    </row>
    <row r="56" spans="11:11" x14ac:dyDescent="0.35">
      <c r="K56">
        <v>0</v>
      </c>
    </row>
    <row r="57" spans="11:11" x14ac:dyDescent="0.35">
      <c r="K57">
        <v>0</v>
      </c>
    </row>
    <row r="58" spans="11:11" x14ac:dyDescent="0.35">
      <c r="K58">
        <v>0</v>
      </c>
    </row>
    <row r="59" spans="11:11" x14ac:dyDescent="0.35">
      <c r="K59">
        <v>0</v>
      </c>
    </row>
    <row r="60" spans="11:11" x14ac:dyDescent="0.35">
      <c r="K60">
        <v>0</v>
      </c>
    </row>
    <row r="61" spans="11:11" x14ac:dyDescent="0.35">
      <c r="K61">
        <v>0</v>
      </c>
    </row>
    <row r="62" spans="11:11" x14ac:dyDescent="0.35">
      <c r="K62">
        <v>0</v>
      </c>
    </row>
    <row r="63" spans="11:11" x14ac:dyDescent="0.35">
      <c r="K63">
        <v>0</v>
      </c>
    </row>
    <row r="64" spans="11:11" x14ac:dyDescent="0.35">
      <c r="K64">
        <v>0</v>
      </c>
    </row>
    <row r="65" spans="11:11" x14ac:dyDescent="0.35">
      <c r="K65">
        <v>0</v>
      </c>
    </row>
    <row r="66" spans="11:11" x14ac:dyDescent="0.35">
      <c r="K66">
        <v>0</v>
      </c>
    </row>
    <row r="67" spans="11:11" x14ac:dyDescent="0.35">
      <c r="K67">
        <v>0</v>
      </c>
    </row>
    <row r="68" spans="11:11" x14ac:dyDescent="0.35">
      <c r="K68">
        <v>0</v>
      </c>
    </row>
    <row r="69" spans="11:11" x14ac:dyDescent="0.35">
      <c r="K69">
        <v>0</v>
      </c>
    </row>
    <row r="70" spans="11:11" x14ac:dyDescent="0.35">
      <c r="K70">
        <v>0</v>
      </c>
    </row>
    <row r="71" spans="11:11" x14ac:dyDescent="0.35">
      <c r="K71">
        <v>0</v>
      </c>
    </row>
    <row r="72" spans="11:11" x14ac:dyDescent="0.35">
      <c r="K72">
        <v>0</v>
      </c>
    </row>
    <row r="73" spans="11:11" x14ac:dyDescent="0.35">
      <c r="K73">
        <v>0</v>
      </c>
    </row>
    <row r="74" spans="11:11" x14ac:dyDescent="0.35">
      <c r="K74">
        <v>0</v>
      </c>
    </row>
    <row r="75" spans="11:11" x14ac:dyDescent="0.35">
      <c r="K75">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4861C-2A42-47DE-8170-5F29B93D2988}">
  <sheetPr filterMode="1">
    <tabColor theme="9" tint="0.39997558519241921"/>
  </sheetPr>
  <dimension ref="A1:DF102"/>
  <sheetViews>
    <sheetView topLeftCell="A9" zoomScale="115" zoomScaleNormal="115" workbookViewId="0">
      <selection activeCell="C93" sqref="C93"/>
    </sheetView>
  </sheetViews>
  <sheetFormatPr defaultColWidth="9.1796875" defaultRowHeight="14" x14ac:dyDescent="0.3"/>
  <cols>
    <col min="1" max="1" width="12" style="104" customWidth="1"/>
    <col min="2" max="2" width="37.81640625" style="104" customWidth="1"/>
    <col min="3" max="3" width="28.7265625" style="104" customWidth="1"/>
    <col min="4" max="4" width="27.81640625" style="104" customWidth="1"/>
    <col min="5" max="6" width="6.54296875" style="104" hidden="1" customWidth="1"/>
    <col min="7" max="11" width="6.54296875" style="106" hidden="1" customWidth="1"/>
    <col min="12" max="12" width="6.54296875" style="181" customWidth="1"/>
    <col min="13" max="13" width="8.453125" style="106" customWidth="1"/>
    <col min="14" max="14" width="6.54296875" style="181" customWidth="1"/>
    <col min="15" max="16" width="6.54296875" style="162" customWidth="1"/>
    <col min="17" max="19" width="6.54296875" style="106" customWidth="1"/>
    <col min="20" max="25" width="6.54296875" style="106" hidden="1" customWidth="1"/>
    <col min="26" max="26" width="12.453125" style="106" hidden="1" customWidth="1"/>
    <col min="27" max="27" width="15.81640625" style="106" hidden="1" customWidth="1"/>
    <col min="28" max="29" width="13.81640625" style="107" customWidth="1"/>
    <col min="30" max="16384" width="9.1796875" style="104"/>
  </cols>
  <sheetData>
    <row r="1" spans="1:110" x14ac:dyDescent="0.3">
      <c r="O1" s="181"/>
      <c r="P1" s="181"/>
    </row>
    <row r="2" spans="1:110" x14ac:dyDescent="0.3">
      <c r="B2" s="105" t="s">
        <v>188</v>
      </c>
      <c r="O2" s="181"/>
      <c r="P2" s="181"/>
    </row>
    <row r="3" spans="1:110" x14ac:dyDescent="0.3">
      <c r="M3" s="130"/>
      <c r="N3" s="182"/>
      <c r="O3" s="182"/>
      <c r="P3" s="182"/>
    </row>
    <row r="4" spans="1:110" ht="28.5" customHeight="1" x14ac:dyDescent="0.3">
      <c r="A4" s="185" t="s">
        <v>332</v>
      </c>
      <c r="B4" s="104" cm="1">
        <f t="array" ref="B4:DF4">COLUMN(B4:DF4)-1</f>
        <v>1</v>
      </c>
      <c r="C4" s="104">
        <v>2</v>
      </c>
      <c r="D4" s="104">
        <v>3</v>
      </c>
      <c r="E4" s="104">
        <v>4</v>
      </c>
      <c r="F4" s="104">
        <v>5</v>
      </c>
      <c r="G4" s="104">
        <v>6</v>
      </c>
      <c r="H4" s="104">
        <v>7</v>
      </c>
      <c r="I4" s="104">
        <v>8</v>
      </c>
      <c r="J4" s="104">
        <v>9</v>
      </c>
      <c r="K4" s="104">
        <v>10</v>
      </c>
      <c r="L4" s="104">
        <v>11</v>
      </c>
      <c r="M4" s="104">
        <v>12</v>
      </c>
      <c r="N4" s="104">
        <v>13</v>
      </c>
      <c r="O4" s="104">
        <v>14</v>
      </c>
      <c r="P4" s="104">
        <v>15</v>
      </c>
      <c r="Q4" s="104">
        <v>16</v>
      </c>
      <c r="R4" s="104">
        <v>17</v>
      </c>
      <c r="S4" s="104">
        <v>18</v>
      </c>
      <c r="T4" s="104">
        <v>19</v>
      </c>
      <c r="U4" s="104">
        <v>20</v>
      </c>
      <c r="V4" s="104">
        <v>21</v>
      </c>
      <c r="W4" s="104">
        <v>22</v>
      </c>
      <c r="X4" s="104">
        <v>23</v>
      </c>
      <c r="Y4" s="104">
        <v>24</v>
      </c>
      <c r="Z4" s="104">
        <v>25</v>
      </c>
      <c r="AA4" s="104">
        <v>26</v>
      </c>
      <c r="AB4" s="104">
        <v>27</v>
      </c>
      <c r="AC4" s="104">
        <v>28</v>
      </c>
      <c r="AD4" s="104">
        <v>29</v>
      </c>
      <c r="AE4" s="104">
        <v>30</v>
      </c>
      <c r="AF4" s="104">
        <v>31</v>
      </c>
      <c r="AG4" s="104">
        <v>32</v>
      </c>
      <c r="AH4" s="104">
        <v>33</v>
      </c>
      <c r="AI4" s="104">
        <v>34</v>
      </c>
      <c r="AJ4" s="104">
        <v>35</v>
      </c>
      <c r="AK4" s="104">
        <v>36</v>
      </c>
      <c r="AL4" s="104">
        <v>37</v>
      </c>
      <c r="AM4" s="104">
        <v>38</v>
      </c>
      <c r="AN4" s="104">
        <v>39</v>
      </c>
      <c r="AO4" s="104">
        <v>40</v>
      </c>
      <c r="AP4" s="104">
        <v>41</v>
      </c>
      <c r="AQ4" s="104">
        <v>42</v>
      </c>
      <c r="AR4" s="104">
        <v>43</v>
      </c>
      <c r="AS4" s="104">
        <v>44</v>
      </c>
      <c r="AT4" s="104">
        <v>45</v>
      </c>
      <c r="AU4" s="104">
        <v>46</v>
      </c>
      <c r="AV4" s="104">
        <v>47</v>
      </c>
      <c r="AW4" s="104">
        <v>48</v>
      </c>
      <c r="AX4" s="104">
        <v>49</v>
      </c>
      <c r="AY4" s="104">
        <v>50</v>
      </c>
      <c r="AZ4" s="104">
        <v>51</v>
      </c>
      <c r="BA4" s="104">
        <v>52</v>
      </c>
      <c r="BB4" s="104">
        <v>53</v>
      </c>
      <c r="BC4" s="104">
        <v>54</v>
      </c>
      <c r="BD4" s="104">
        <v>55</v>
      </c>
      <c r="BE4" s="104">
        <v>56</v>
      </c>
      <c r="BF4" s="104">
        <v>57</v>
      </c>
      <c r="BG4" s="104">
        <v>58</v>
      </c>
      <c r="BH4" s="104">
        <v>59</v>
      </c>
      <c r="BI4" s="104">
        <v>60</v>
      </c>
      <c r="BJ4" s="104">
        <v>61</v>
      </c>
      <c r="BK4" s="104">
        <v>62</v>
      </c>
      <c r="BL4" s="104">
        <v>63</v>
      </c>
      <c r="BM4" s="104">
        <v>64</v>
      </c>
      <c r="BN4" s="104">
        <v>65</v>
      </c>
      <c r="BO4" s="104">
        <v>66</v>
      </c>
      <c r="BP4" s="104">
        <v>67</v>
      </c>
      <c r="BQ4" s="104">
        <v>68</v>
      </c>
      <c r="BR4" s="104">
        <v>69</v>
      </c>
      <c r="BS4" s="104">
        <v>70</v>
      </c>
      <c r="BT4" s="104">
        <v>71</v>
      </c>
      <c r="BU4" s="104">
        <v>72</v>
      </c>
      <c r="BV4" s="104">
        <v>73</v>
      </c>
      <c r="BW4" s="104">
        <v>74</v>
      </c>
      <c r="BX4" s="104">
        <v>75</v>
      </c>
      <c r="BY4" s="104">
        <v>76</v>
      </c>
      <c r="BZ4" s="104">
        <v>77</v>
      </c>
      <c r="CA4" s="104">
        <v>78</v>
      </c>
      <c r="CB4" s="104">
        <v>79</v>
      </c>
      <c r="CC4" s="104">
        <v>80</v>
      </c>
      <c r="CD4" s="104">
        <v>81</v>
      </c>
      <c r="CE4" s="104">
        <v>82</v>
      </c>
      <c r="CF4" s="104">
        <v>83</v>
      </c>
      <c r="CG4" s="104">
        <v>84</v>
      </c>
      <c r="CH4" s="104">
        <v>85</v>
      </c>
      <c r="CI4" s="104">
        <v>86</v>
      </c>
      <c r="CJ4" s="104">
        <v>87</v>
      </c>
      <c r="CK4" s="104">
        <v>88</v>
      </c>
      <c r="CL4" s="104">
        <v>89</v>
      </c>
      <c r="CM4" s="104">
        <v>90</v>
      </c>
      <c r="CN4" s="104">
        <v>91</v>
      </c>
      <c r="CO4" s="104">
        <v>92</v>
      </c>
      <c r="CP4" s="104">
        <v>93</v>
      </c>
      <c r="CQ4" s="104">
        <v>94</v>
      </c>
      <c r="CR4" s="104">
        <v>95</v>
      </c>
      <c r="CS4" s="104">
        <v>96</v>
      </c>
      <c r="CT4" s="104">
        <v>97</v>
      </c>
      <c r="CU4" s="104">
        <v>98</v>
      </c>
      <c r="CV4" s="104">
        <v>99</v>
      </c>
      <c r="CW4" s="104">
        <v>100</v>
      </c>
      <c r="CX4" s="104">
        <v>101</v>
      </c>
      <c r="CY4" s="104">
        <v>102</v>
      </c>
      <c r="CZ4" s="104">
        <v>103</v>
      </c>
      <c r="DA4" s="104">
        <v>104</v>
      </c>
      <c r="DB4" s="104">
        <v>105</v>
      </c>
      <c r="DC4" s="104">
        <v>106</v>
      </c>
      <c r="DD4" s="104">
        <v>107</v>
      </c>
      <c r="DE4" s="104">
        <v>108</v>
      </c>
      <c r="DF4" s="104">
        <v>109</v>
      </c>
    </row>
    <row r="5" spans="1:110" ht="58" x14ac:dyDescent="0.3">
      <c r="B5" s="108" t="s">
        <v>189</v>
      </c>
      <c r="C5" s="108" t="s">
        <v>87</v>
      </c>
      <c r="D5" s="108" t="s">
        <v>32</v>
      </c>
      <c r="E5" s="108" t="s">
        <v>190</v>
      </c>
      <c r="F5" s="108" t="s">
        <v>191</v>
      </c>
      <c r="G5" s="109" t="s">
        <v>162</v>
      </c>
      <c r="H5" s="109" t="s">
        <v>163</v>
      </c>
      <c r="I5" s="109" t="s">
        <v>192</v>
      </c>
      <c r="J5" s="109" t="s">
        <v>242</v>
      </c>
      <c r="K5" s="109" t="s">
        <v>243</v>
      </c>
      <c r="L5" s="109" t="s">
        <v>279</v>
      </c>
      <c r="M5" s="109" t="s">
        <v>277</v>
      </c>
      <c r="N5" s="109" t="s">
        <v>280</v>
      </c>
      <c r="O5" s="109" t="s">
        <v>278</v>
      </c>
      <c r="P5" s="109" t="s">
        <v>285</v>
      </c>
      <c r="Q5" s="109" t="s">
        <v>286</v>
      </c>
      <c r="R5" s="109" t="s">
        <v>281</v>
      </c>
      <c r="S5" s="109" t="s">
        <v>282</v>
      </c>
      <c r="T5" s="109" t="s">
        <v>250</v>
      </c>
      <c r="U5" s="109" t="s">
        <v>247</v>
      </c>
      <c r="V5" s="109" t="s">
        <v>248</v>
      </c>
      <c r="W5" s="109" t="s">
        <v>249</v>
      </c>
      <c r="X5" s="109" t="s">
        <v>251</v>
      </c>
      <c r="Y5" s="109" t="s">
        <v>252</v>
      </c>
      <c r="Z5" s="109" t="s">
        <v>276</v>
      </c>
      <c r="AA5" s="109" t="s">
        <v>275</v>
      </c>
      <c r="AB5" s="110" t="s">
        <v>301</v>
      </c>
      <c r="AC5" s="110" t="s">
        <v>302</v>
      </c>
    </row>
    <row r="6" spans="1:110" s="113" customFormat="1" hidden="1" x14ac:dyDescent="0.3">
      <c r="A6" s="104"/>
      <c r="B6" s="111"/>
      <c r="C6" s="111"/>
      <c r="D6" s="112" t="s">
        <v>173</v>
      </c>
      <c r="E6" s="112" t="s">
        <v>193</v>
      </c>
      <c r="F6" s="112" t="s">
        <v>193</v>
      </c>
      <c r="G6" s="112" t="s">
        <v>193</v>
      </c>
      <c r="H6" s="112" t="s">
        <v>193</v>
      </c>
      <c r="I6" s="112"/>
      <c r="J6" s="112" t="s">
        <v>330</v>
      </c>
      <c r="K6" s="112" t="s">
        <v>330</v>
      </c>
      <c r="L6" s="112" t="s">
        <v>194</v>
      </c>
      <c r="M6" s="112" t="s">
        <v>194</v>
      </c>
      <c r="N6" s="112" t="s">
        <v>194</v>
      </c>
      <c r="O6" s="112" t="s">
        <v>194</v>
      </c>
      <c r="P6" s="112" t="s">
        <v>194</v>
      </c>
      <c r="Q6" s="112" t="s">
        <v>194</v>
      </c>
      <c r="R6" s="112" t="s">
        <v>194</v>
      </c>
      <c r="S6" s="112" t="s">
        <v>194</v>
      </c>
      <c r="T6" s="112" t="s">
        <v>331</v>
      </c>
      <c r="U6" s="112" t="s">
        <v>331</v>
      </c>
      <c r="V6" s="112" t="s">
        <v>331</v>
      </c>
      <c r="W6" s="112" t="s">
        <v>331</v>
      </c>
      <c r="X6" s="112" t="s">
        <v>331</v>
      </c>
      <c r="Y6" s="112" t="s">
        <v>331</v>
      </c>
      <c r="Z6" s="112" t="s">
        <v>331</v>
      </c>
      <c r="AA6" s="112" t="s">
        <v>331</v>
      </c>
      <c r="AB6" s="112" t="s">
        <v>193</v>
      </c>
      <c r="AC6" s="112" t="s">
        <v>193</v>
      </c>
      <c r="AD6" s="104"/>
      <c r="AE6" s="104"/>
      <c r="AF6" s="104"/>
      <c r="AG6" s="104"/>
      <c r="AH6" s="104"/>
      <c r="AI6" s="104"/>
      <c r="AJ6" s="104"/>
      <c r="AK6" s="104"/>
      <c r="AL6" s="104"/>
      <c r="AM6" s="104"/>
      <c r="AN6" s="104"/>
      <c r="AO6" s="104"/>
      <c r="AP6" s="104"/>
      <c r="AQ6" s="104"/>
      <c r="AR6" s="104"/>
      <c r="AS6" s="104"/>
      <c r="AT6" s="104"/>
      <c r="AU6" s="104"/>
      <c r="AV6" s="104"/>
      <c r="AW6" s="104"/>
      <c r="AX6" s="104"/>
      <c r="AY6" s="104"/>
      <c r="AZ6" s="104"/>
      <c r="BA6" s="104"/>
      <c r="BB6" s="104"/>
      <c r="BC6" s="104"/>
      <c r="BD6" s="104"/>
      <c r="BE6" s="104"/>
      <c r="BF6" s="104"/>
      <c r="BG6" s="104"/>
      <c r="BH6" s="104"/>
      <c r="BI6" s="104"/>
      <c r="BJ6" s="104"/>
      <c r="BK6" s="104"/>
      <c r="BL6" s="104"/>
      <c r="BM6" s="104"/>
      <c r="BN6" s="104"/>
      <c r="BO6" s="104"/>
      <c r="BP6" s="104"/>
      <c r="BQ6" s="104"/>
      <c r="BR6" s="104"/>
      <c r="BS6" s="104"/>
      <c r="BT6" s="104"/>
      <c r="BU6" s="104"/>
      <c r="BV6" s="104"/>
      <c r="BW6" s="104"/>
      <c r="BX6" s="104"/>
      <c r="BY6" s="104"/>
      <c r="BZ6" s="104"/>
      <c r="CA6" s="104"/>
      <c r="CB6" s="104"/>
      <c r="CC6" s="104"/>
      <c r="CD6" s="104"/>
      <c r="CE6" s="104"/>
      <c r="CF6" s="104"/>
      <c r="CG6" s="104"/>
      <c r="CH6" s="104"/>
      <c r="CI6" s="104"/>
      <c r="CJ6" s="104"/>
      <c r="CK6" s="104"/>
      <c r="CL6" s="104"/>
      <c r="CM6" s="104"/>
      <c r="CN6" s="104"/>
      <c r="CO6" s="104"/>
      <c r="CP6" s="104"/>
      <c r="CQ6" s="104"/>
      <c r="CR6" s="104"/>
      <c r="CS6" s="104"/>
      <c r="CT6" s="104"/>
      <c r="CU6" s="104"/>
      <c r="CV6" s="104"/>
      <c r="CW6" s="104"/>
      <c r="CX6" s="104"/>
      <c r="CY6" s="104"/>
      <c r="CZ6" s="104"/>
      <c r="DA6" s="104"/>
      <c r="DB6" s="104"/>
    </row>
    <row r="7" spans="1:110" s="187" customFormat="1" ht="57" hidden="1" customHeight="1" x14ac:dyDescent="0.35">
      <c r="B7" s="114" t="str">
        <f t="shared" ref="B7:B50" si="0">C7&amp;D7</f>
        <v>Building Envelope - High Performance Glazing with Enhanced Air SealingMid Rise Office</v>
      </c>
      <c r="C7" s="115" t="s">
        <v>195</v>
      </c>
      <c r="D7" s="116" t="s">
        <v>178</v>
      </c>
      <c r="E7" s="117">
        <v>0.01</v>
      </c>
      <c r="F7" s="117">
        <v>0.1</v>
      </c>
      <c r="G7" s="117">
        <v>0.01</v>
      </c>
      <c r="H7" s="117">
        <v>0.1</v>
      </c>
      <c r="I7" s="117">
        <f>AVERAGE(G7:H7)</f>
        <v>5.5E-2</v>
      </c>
      <c r="J7" s="188">
        <f>VLOOKUP(D7,'Existing Building EUI'!$B$7:$E$16,3,FALSE)</f>
        <v>270</v>
      </c>
      <c r="K7" s="188">
        <f>VLOOKUP(D7,'Existing Building EUI'!$B$7:$E$16,4,FALSE)</f>
        <v>219</v>
      </c>
      <c r="L7" s="189">
        <v>0.01</v>
      </c>
      <c r="M7" s="117">
        <v>0.11</v>
      </c>
      <c r="N7" s="189">
        <v>0.01</v>
      </c>
      <c r="O7" s="134">
        <v>0.08</v>
      </c>
      <c r="P7" s="117">
        <v>0</v>
      </c>
      <c r="Q7" s="117">
        <v>0</v>
      </c>
      <c r="R7" s="117">
        <v>0</v>
      </c>
      <c r="S7" s="117">
        <v>0</v>
      </c>
      <c r="T7" s="186">
        <f>L7</f>
        <v>0.01</v>
      </c>
      <c r="U7" s="186">
        <f>M7</f>
        <v>0.11</v>
      </c>
      <c r="V7" s="186">
        <f>K7-((K7*N7)+(J7*R7))</f>
        <v>216.81</v>
      </c>
      <c r="W7" s="186">
        <f>K7-((K7*O7)+(J7*S7))</f>
        <v>201.48</v>
      </c>
      <c r="X7" s="186">
        <f>(P7*J7)*-1</f>
        <v>0</v>
      </c>
      <c r="Y7" s="186">
        <f>Q7*J7</f>
        <v>0</v>
      </c>
      <c r="Z7" s="183">
        <f t="shared" ref="Z7:Z35" si="1">(SUM(T7,V7,X7)-SUM(J7:K7))/SUM(J7:K7)*-1</f>
        <v>0.5566053169734152</v>
      </c>
      <c r="AA7" s="134">
        <f t="shared" ref="AA7:AA35" si="2">(SUM(U7,W7,Y7)-SUM(J7:K7))/SUM(J7:K7)*-1</f>
        <v>0.58775051124744371</v>
      </c>
      <c r="AB7" s="190">
        <v>1</v>
      </c>
      <c r="AC7" s="190">
        <v>10</v>
      </c>
      <c r="AD7" s="191"/>
    </row>
    <row r="8" spans="1:110" s="187" customFormat="1" ht="57" hidden="1" customHeight="1" x14ac:dyDescent="0.35">
      <c r="B8" s="114" t="str">
        <f t="shared" si="0"/>
        <v>Building Envelope - High Performance Glazing, Wall Insulation, &amp; Roof InsulationMid Rise Office</v>
      </c>
      <c r="C8" s="115" t="s">
        <v>196</v>
      </c>
      <c r="D8" s="116" t="s">
        <v>178</v>
      </c>
      <c r="E8" s="117">
        <v>0.11</v>
      </c>
      <c r="F8" s="117">
        <v>0.2</v>
      </c>
      <c r="G8" s="117">
        <v>0.01</v>
      </c>
      <c r="H8" s="117">
        <v>0.1</v>
      </c>
      <c r="I8" s="117">
        <f t="shared" ref="I8:I50" si="3">AVERAGE(G8:H8)</f>
        <v>5.5E-2</v>
      </c>
      <c r="J8" s="188">
        <f>VLOOKUP(D8,'Existing Building EUI'!$B$7:$E$16,3,FALSE)</f>
        <v>270</v>
      </c>
      <c r="K8" s="188">
        <f>VLOOKUP(D8,'Existing Building EUI'!$B$7:$E$16,4,FALSE)</f>
        <v>219</v>
      </c>
      <c r="L8" s="189">
        <v>0.14000000000000001</v>
      </c>
      <c r="M8" s="117">
        <v>0.2</v>
      </c>
      <c r="N8" s="183">
        <v>0.08</v>
      </c>
      <c r="O8" s="134">
        <v>0.15</v>
      </c>
      <c r="P8" s="117">
        <v>0</v>
      </c>
      <c r="Q8" s="117">
        <v>0</v>
      </c>
      <c r="R8" s="117">
        <v>0</v>
      </c>
      <c r="S8" s="117">
        <v>0</v>
      </c>
      <c r="T8" s="131">
        <f t="shared" ref="T8:T65" si="4">J8-(J8*L8)</f>
        <v>232.2</v>
      </c>
      <c r="U8" s="131">
        <f t="shared" ref="U8:U50" si="5">J8-(J8*M8)</f>
        <v>216</v>
      </c>
      <c r="V8" s="131">
        <f t="shared" ref="V8:V64" si="6">K8-((K8*N8)+(J8*R8))</f>
        <v>201.48</v>
      </c>
      <c r="W8" s="131">
        <f t="shared" ref="W8:W35" si="7">K8-((K8*O8)+(J8*S8))</f>
        <v>186.15</v>
      </c>
      <c r="X8" s="131">
        <f t="shared" ref="X8:X9" si="8">(P8*J8)*-1</f>
        <v>0</v>
      </c>
      <c r="Y8" s="131">
        <f t="shared" ref="Y8:Y50" si="9">Q8*J8</f>
        <v>0</v>
      </c>
      <c r="Z8" s="183">
        <f t="shared" si="1"/>
        <v>0.11312883435582832</v>
      </c>
      <c r="AA8" s="134">
        <f t="shared" si="2"/>
        <v>0.17760736196319024</v>
      </c>
      <c r="AB8" s="190">
        <v>11</v>
      </c>
      <c r="AC8" s="190">
        <v>25</v>
      </c>
      <c r="AD8" s="191"/>
    </row>
    <row r="9" spans="1:110" s="187" customFormat="1" ht="57" customHeight="1" x14ac:dyDescent="0.35">
      <c r="B9" s="114" t="str">
        <f t="shared" si="0"/>
        <v>Domestic Hot Water - Heat Pump and Electric Resistance Water HeatersMid Rise Office</v>
      </c>
      <c r="C9" s="115" t="s">
        <v>197</v>
      </c>
      <c r="D9" s="116" t="s">
        <v>178</v>
      </c>
      <c r="E9" s="117">
        <v>0.01</v>
      </c>
      <c r="F9" s="117">
        <v>0.05</v>
      </c>
      <c r="G9" s="117">
        <v>0.01</v>
      </c>
      <c r="H9" s="117">
        <v>0.1</v>
      </c>
      <c r="I9" s="117">
        <f t="shared" si="3"/>
        <v>5.5E-2</v>
      </c>
      <c r="J9" s="188">
        <f>VLOOKUP(D9,'Existing Building EUI'!$B$7:$E$16,3,FALSE)</f>
        <v>270</v>
      </c>
      <c r="K9" s="188">
        <f>VLOOKUP(D9,'Existing Building EUI'!$B$7:$E$16,4,FALSE)</f>
        <v>219</v>
      </c>
      <c r="L9" s="189">
        <v>0.02</v>
      </c>
      <c r="M9" s="117">
        <v>0.1</v>
      </c>
      <c r="N9" s="183">
        <v>0</v>
      </c>
      <c r="O9" s="134">
        <v>0</v>
      </c>
      <c r="P9" s="117">
        <v>0</v>
      </c>
      <c r="Q9" s="117">
        <v>0</v>
      </c>
      <c r="R9" s="133">
        <f>L9/-4</f>
        <v>-5.0000000000000001E-3</v>
      </c>
      <c r="S9" s="133">
        <f>M9/-4</f>
        <v>-2.5000000000000001E-2</v>
      </c>
      <c r="T9" s="131">
        <f t="shared" si="4"/>
        <v>264.60000000000002</v>
      </c>
      <c r="U9" s="131">
        <f t="shared" si="5"/>
        <v>243</v>
      </c>
      <c r="V9" s="131">
        <f t="shared" si="6"/>
        <v>220.35</v>
      </c>
      <c r="W9" s="131">
        <f t="shared" si="7"/>
        <v>225.75</v>
      </c>
      <c r="X9" s="131">
        <f t="shared" si="8"/>
        <v>0</v>
      </c>
      <c r="Y9" s="131">
        <f t="shared" si="9"/>
        <v>0</v>
      </c>
      <c r="Z9" s="183">
        <f t="shared" si="1"/>
        <v>8.2822085889569623E-3</v>
      </c>
      <c r="AA9" s="134">
        <f t="shared" si="2"/>
        <v>4.1411042944785273E-2</v>
      </c>
      <c r="AB9" s="190">
        <v>0</v>
      </c>
      <c r="AC9" s="190">
        <v>0</v>
      </c>
    </row>
    <row r="10" spans="1:110" s="187" customFormat="1" ht="42.75" hidden="1" customHeight="1" x14ac:dyDescent="0.35">
      <c r="B10" s="114" t="str">
        <f t="shared" si="0"/>
        <v>Heating, Cooling, Ventilation Systems - Low Carbon District Energy System + Dedicated Outdoor AirMid Rise Office</v>
      </c>
      <c r="C10" s="244" t="s">
        <v>342</v>
      </c>
      <c r="D10" s="116" t="s">
        <v>178</v>
      </c>
      <c r="E10" s="117">
        <v>0.21</v>
      </c>
      <c r="F10" s="117">
        <v>0.35</v>
      </c>
      <c r="G10" s="117">
        <v>0.3</v>
      </c>
      <c r="H10" s="117">
        <v>0.75</v>
      </c>
      <c r="I10" s="117">
        <f t="shared" si="3"/>
        <v>0.52500000000000002</v>
      </c>
      <c r="J10" s="188">
        <f>VLOOKUP(D10,'Existing Building EUI'!$B$7:$E$16,3,FALSE)</f>
        <v>270</v>
      </c>
      <c r="K10" s="188">
        <f>VLOOKUP(D10,'Existing Building EUI'!$B$7:$E$16,4,FALSE)</f>
        <v>219</v>
      </c>
      <c r="L10" s="189">
        <v>0.9</v>
      </c>
      <c r="M10" s="117">
        <v>0.97</v>
      </c>
      <c r="N10" s="183">
        <v>0.08</v>
      </c>
      <c r="O10" s="134">
        <v>0.1</v>
      </c>
      <c r="P10" s="117">
        <f>L10*-0.7</f>
        <v>-0.63</v>
      </c>
      <c r="Q10" s="117">
        <f>M10*-0.7</f>
        <v>-0.67899999999999994</v>
      </c>
      <c r="R10" s="117">
        <v>0</v>
      </c>
      <c r="S10" s="117">
        <v>0</v>
      </c>
      <c r="T10" s="131">
        <f>J10-(J10*L10)</f>
        <v>27</v>
      </c>
      <c r="U10" s="131">
        <f t="shared" si="5"/>
        <v>8.1000000000000227</v>
      </c>
      <c r="V10" s="131">
        <f t="shared" si="6"/>
        <v>201.48</v>
      </c>
      <c r="W10" s="131">
        <f t="shared" si="7"/>
        <v>197.1</v>
      </c>
      <c r="X10" s="131">
        <f>(P10*J10)*-1</f>
        <v>170.1</v>
      </c>
      <c r="Y10" s="131">
        <f>(Q10*J10)*-1</f>
        <v>183.32999999999998</v>
      </c>
      <c r="Z10" s="183">
        <f t="shared" si="1"/>
        <v>0.18490797546012272</v>
      </c>
      <c r="AA10" s="134">
        <f t="shared" si="2"/>
        <v>0.20546012269938657</v>
      </c>
      <c r="AB10" s="190">
        <v>1</v>
      </c>
      <c r="AC10" s="190">
        <v>10</v>
      </c>
      <c r="AD10" s="191"/>
    </row>
    <row r="11" spans="1:110" s="187" customFormat="1" ht="56" hidden="1" x14ac:dyDescent="0.35">
      <c r="B11" s="114" t="str">
        <f t="shared" si="0"/>
        <v>Heating, Cooling, Ventilation Systems - Air Source Heat Pumps + Dedicated Outdoor AirMid Rise Office</v>
      </c>
      <c r="C11" s="164" t="s">
        <v>287</v>
      </c>
      <c r="D11" s="116" t="s">
        <v>178</v>
      </c>
      <c r="E11" s="117">
        <v>0.21</v>
      </c>
      <c r="F11" s="117">
        <v>0.35</v>
      </c>
      <c r="G11" s="117">
        <v>0.3</v>
      </c>
      <c r="H11" s="117">
        <v>0.75</v>
      </c>
      <c r="I11" s="117">
        <f t="shared" si="3"/>
        <v>0.52500000000000002</v>
      </c>
      <c r="J11" s="188">
        <f>VLOOKUP(D11,'Existing Building EUI'!$B$7:$E$16,3,FALSE)</f>
        <v>270</v>
      </c>
      <c r="K11" s="188">
        <f>VLOOKUP(D11,'Existing Building EUI'!$B$7:$E$16,4,FALSE)</f>
        <v>219</v>
      </c>
      <c r="L11" s="189">
        <v>0.9</v>
      </c>
      <c r="M11" s="117">
        <v>0.97</v>
      </c>
      <c r="N11" s="183">
        <v>0.08</v>
      </c>
      <c r="O11" s="134">
        <v>0.1</v>
      </c>
      <c r="P11" s="117">
        <v>0</v>
      </c>
      <c r="Q11" s="117">
        <v>0</v>
      </c>
      <c r="R11" s="133">
        <f>L11/-2</f>
        <v>-0.45</v>
      </c>
      <c r="S11" s="133">
        <f>M11/-2</f>
        <v>-0.48499999999999999</v>
      </c>
      <c r="T11" s="131">
        <f t="shared" si="4"/>
        <v>27</v>
      </c>
      <c r="U11" s="131">
        <f t="shared" si="5"/>
        <v>8.1000000000000227</v>
      </c>
      <c r="V11" s="131">
        <f>K11-((K11*N11)+(J11*R11))</f>
        <v>322.98</v>
      </c>
      <c r="W11" s="131">
        <f t="shared" si="7"/>
        <v>328.04999999999995</v>
      </c>
      <c r="X11" s="131">
        <f t="shared" ref="X11:X68" si="10">(P11*J11)*-1</f>
        <v>0</v>
      </c>
      <c r="Y11" s="131">
        <f t="shared" si="9"/>
        <v>0</v>
      </c>
      <c r="Z11" s="183">
        <f t="shared" si="1"/>
        <v>0.28429447852760731</v>
      </c>
      <c r="AA11" s="134">
        <f t="shared" si="2"/>
        <v>0.31257668711656444</v>
      </c>
      <c r="AB11" s="190">
        <v>1</v>
      </c>
      <c r="AC11" s="190">
        <v>10</v>
      </c>
    </row>
    <row r="12" spans="1:110" s="187" customFormat="1" ht="56" hidden="1" x14ac:dyDescent="0.35">
      <c r="B12" s="114" t="str">
        <f t="shared" si="0"/>
        <v>Heating, Cooling, Ventilation Systems - Ground Source Heat Pumps + Dedicated Outdoor AirMid Rise Office</v>
      </c>
      <c r="C12" s="164" t="s">
        <v>288</v>
      </c>
      <c r="D12" s="116" t="s">
        <v>178</v>
      </c>
      <c r="E12" s="117">
        <v>0.21</v>
      </c>
      <c r="F12" s="117">
        <v>0.35</v>
      </c>
      <c r="G12" s="117">
        <v>0.3</v>
      </c>
      <c r="H12" s="117">
        <v>0.75</v>
      </c>
      <c r="I12" s="117">
        <f t="shared" si="3"/>
        <v>0.52500000000000002</v>
      </c>
      <c r="J12" s="188">
        <f>VLOOKUP(D12,'Existing Building EUI'!$B$7:$E$16,3,FALSE)</f>
        <v>270</v>
      </c>
      <c r="K12" s="188">
        <f>VLOOKUP(D12,'Existing Building EUI'!$B$7:$E$16,4,FALSE)</f>
        <v>219</v>
      </c>
      <c r="L12" s="189">
        <v>0.9</v>
      </c>
      <c r="M12" s="117">
        <v>0.97</v>
      </c>
      <c r="N12" s="183">
        <v>0.08</v>
      </c>
      <c r="O12" s="134">
        <v>0.1</v>
      </c>
      <c r="P12" s="117">
        <v>0</v>
      </c>
      <c r="Q12" s="117">
        <v>0</v>
      </c>
      <c r="R12" s="133">
        <f>L12/-3</f>
        <v>-0.3</v>
      </c>
      <c r="S12" s="133">
        <f>M12/-3</f>
        <v>-0.32333333333333331</v>
      </c>
      <c r="T12" s="131">
        <f t="shared" si="4"/>
        <v>27</v>
      </c>
      <c r="U12" s="131">
        <f t="shared" si="5"/>
        <v>8.1000000000000227</v>
      </c>
      <c r="V12" s="131">
        <f t="shared" si="6"/>
        <v>282.48</v>
      </c>
      <c r="W12" s="131">
        <f t="shared" si="7"/>
        <v>284.39999999999998</v>
      </c>
      <c r="X12" s="131">
        <f t="shared" si="10"/>
        <v>0</v>
      </c>
      <c r="Y12" s="131">
        <f t="shared" si="9"/>
        <v>0</v>
      </c>
      <c r="Z12" s="183">
        <f t="shared" si="1"/>
        <v>0.36711656441717788</v>
      </c>
      <c r="AA12" s="134">
        <f t="shared" si="2"/>
        <v>0.40184049079754602</v>
      </c>
      <c r="AB12" s="190">
        <v>1</v>
      </c>
      <c r="AC12" s="190">
        <v>10</v>
      </c>
    </row>
    <row r="13" spans="1:110" s="187" customFormat="1" ht="28" hidden="1" x14ac:dyDescent="0.35">
      <c r="B13" s="114" t="str">
        <f t="shared" si="0"/>
        <v>Lighting and Lighting ControlsMid Rise Office</v>
      </c>
      <c r="C13" s="115" t="s">
        <v>198</v>
      </c>
      <c r="D13" s="116" t="s">
        <v>178</v>
      </c>
      <c r="E13" s="117">
        <v>0.01</v>
      </c>
      <c r="F13" s="117">
        <v>0.1</v>
      </c>
      <c r="G13" s="117">
        <v>0.01</v>
      </c>
      <c r="H13" s="117">
        <v>0.1</v>
      </c>
      <c r="I13" s="117">
        <f t="shared" si="3"/>
        <v>5.5E-2</v>
      </c>
      <c r="J13" s="188">
        <f>VLOOKUP(D13,'Existing Building EUI'!$B$7:$E$16,3,FALSE)</f>
        <v>270</v>
      </c>
      <c r="K13" s="188">
        <f>VLOOKUP(D13,'Existing Building EUI'!$B$7:$E$16,4,FALSE)</f>
        <v>219</v>
      </c>
      <c r="L13" s="189">
        <v>0</v>
      </c>
      <c r="M13" s="117">
        <v>0</v>
      </c>
      <c r="N13" s="183">
        <v>0.03</v>
      </c>
      <c r="O13" s="134">
        <v>0.22</v>
      </c>
      <c r="P13" s="117">
        <v>0</v>
      </c>
      <c r="Q13" s="117">
        <v>0</v>
      </c>
      <c r="R13" s="117">
        <v>0</v>
      </c>
      <c r="S13" s="117">
        <v>0</v>
      </c>
      <c r="T13" s="131">
        <f t="shared" si="4"/>
        <v>270</v>
      </c>
      <c r="U13" s="131">
        <f t="shared" si="5"/>
        <v>270</v>
      </c>
      <c r="V13" s="131">
        <f t="shared" si="6"/>
        <v>212.43</v>
      </c>
      <c r="W13" s="131">
        <f t="shared" si="7"/>
        <v>170.82</v>
      </c>
      <c r="X13" s="131">
        <f t="shared" si="10"/>
        <v>0</v>
      </c>
      <c r="Y13" s="131">
        <f t="shared" si="9"/>
        <v>0</v>
      </c>
      <c r="Z13" s="183">
        <f t="shared" si="1"/>
        <v>1.3435582822085875E-2</v>
      </c>
      <c r="AA13" s="134">
        <f t="shared" si="2"/>
        <v>9.8527607361963199E-2</v>
      </c>
      <c r="AB13" s="190">
        <v>1</v>
      </c>
      <c r="AC13" s="190">
        <v>10</v>
      </c>
    </row>
    <row r="14" spans="1:110" s="187" customFormat="1" ht="14.5" hidden="1" x14ac:dyDescent="0.35">
      <c r="B14" s="114" t="str">
        <f t="shared" si="0"/>
        <v>Renewables - Solar PVMid Rise Office</v>
      </c>
      <c r="C14" s="115" t="s">
        <v>199</v>
      </c>
      <c r="D14" s="116" t="s">
        <v>178</v>
      </c>
      <c r="E14" s="117">
        <v>0.01</v>
      </c>
      <c r="F14" s="117">
        <v>0.1</v>
      </c>
      <c r="G14" s="117">
        <v>0.01</v>
      </c>
      <c r="H14" s="117">
        <v>0.05</v>
      </c>
      <c r="I14" s="117">
        <f t="shared" si="3"/>
        <v>3.0000000000000002E-2</v>
      </c>
      <c r="J14" s="188">
        <f>VLOOKUP(D14,'Existing Building EUI'!$B$7:$E$16,3,FALSE)</f>
        <v>270</v>
      </c>
      <c r="K14" s="188">
        <f>VLOOKUP(D14,'Existing Building EUI'!$B$7:$E$16,4,FALSE)</f>
        <v>219</v>
      </c>
      <c r="L14" s="189">
        <v>0</v>
      </c>
      <c r="M14" s="117">
        <v>0</v>
      </c>
      <c r="N14" s="183">
        <v>0.02</v>
      </c>
      <c r="O14" s="134">
        <v>0.22</v>
      </c>
      <c r="P14" s="117">
        <v>0</v>
      </c>
      <c r="Q14" s="117">
        <v>0</v>
      </c>
      <c r="R14" s="117">
        <v>0</v>
      </c>
      <c r="S14" s="117">
        <v>0</v>
      </c>
      <c r="T14" s="131">
        <f t="shared" si="4"/>
        <v>270</v>
      </c>
      <c r="U14" s="131">
        <f t="shared" si="5"/>
        <v>270</v>
      </c>
      <c r="V14" s="131">
        <f t="shared" si="6"/>
        <v>214.62</v>
      </c>
      <c r="W14" s="131">
        <f t="shared" si="7"/>
        <v>170.82</v>
      </c>
      <c r="X14" s="131">
        <f t="shared" si="10"/>
        <v>0</v>
      </c>
      <c r="Y14" s="131">
        <f t="shared" si="9"/>
        <v>0</v>
      </c>
      <c r="Z14" s="183">
        <f t="shared" si="1"/>
        <v>8.9570552147239177E-3</v>
      </c>
      <c r="AA14" s="134">
        <f t="shared" si="2"/>
        <v>9.8527607361963199E-2</v>
      </c>
      <c r="AB14" s="190">
        <v>26</v>
      </c>
      <c r="AC14" s="190">
        <v>50</v>
      </c>
    </row>
    <row r="15" spans="1:110" s="187" customFormat="1" ht="28.5" hidden="1" customHeight="1" x14ac:dyDescent="0.35">
      <c r="B15" s="114" t="str">
        <f t="shared" si="0"/>
        <v>Renewables - Solar ThermalMid Rise Office</v>
      </c>
      <c r="C15" s="115" t="s">
        <v>200</v>
      </c>
      <c r="D15" s="116" t="s">
        <v>178</v>
      </c>
      <c r="E15" s="117">
        <v>0.01</v>
      </c>
      <c r="F15" s="117">
        <v>0.1</v>
      </c>
      <c r="G15" s="117">
        <v>0.01</v>
      </c>
      <c r="H15" s="117">
        <v>0.03</v>
      </c>
      <c r="I15" s="117">
        <f t="shared" si="3"/>
        <v>0.02</v>
      </c>
      <c r="J15" s="188">
        <f>VLOOKUP(D15,'Existing Building EUI'!$B$7:$E$16,3,FALSE)</f>
        <v>270</v>
      </c>
      <c r="K15" s="188">
        <f>VLOOKUP(D15,'Existing Building EUI'!$B$7:$E$16,4,FALSE)</f>
        <v>219</v>
      </c>
      <c r="L15" s="189">
        <v>0.02</v>
      </c>
      <c r="M15" s="117">
        <v>0.1</v>
      </c>
      <c r="N15" s="183">
        <v>0</v>
      </c>
      <c r="O15" s="134">
        <v>0</v>
      </c>
      <c r="P15" s="117">
        <v>0</v>
      </c>
      <c r="Q15" s="117">
        <v>0</v>
      </c>
      <c r="R15" s="117">
        <v>0</v>
      </c>
      <c r="S15" s="117">
        <v>0</v>
      </c>
      <c r="T15" s="131">
        <f t="shared" si="4"/>
        <v>264.60000000000002</v>
      </c>
      <c r="U15" s="131">
        <f t="shared" si="5"/>
        <v>243</v>
      </c>
      <c r="V15" s="131">
        <f t="shared" si="6"/>
        <v>219</v>
      </c>
      <c r="W15" s="131">
        <f t="shared" si="7"/>
        <v>219</v>
      </c>
      <c r="X15" s="131">
        <f t="shared" si="10"/>
        <v>0</v>
      </c>
      <c r="Y15" s="131">
        <f t="shared" si="9"/>
        <v>0</v>
      </c>
      <c r="Z15" s="183">
        <f t="shared" si="1"/>
        <v>1.1042944785276027E-2</v>
      </c>
      <c r="AA15" s="134">
        <f t="shared" si="2"/>
        <v>5.5214723926380369E-2</v>
      </c>
      <c r="AB15" s="190">
        <v>26</v>
      </c>
      <c r="AC15" s="190">
        <v>50</v>
      </c>
    </row>
    <row r="16" spans="1:110" s="187" customFormat="1" ht="28.5" hidden="1" customHeight="1" x14ac:dyDescent="0.35">
      <c r="B16" s="114" t="str">
        <f t="shared" si="0"/>
        <v>Building Envelope - High Performance Glazing with Enhanced Air SealingEducational Facility</v>
      </c>
      <c r="C16" s="132" t="s">
        <v>195</v>
      </c>
      <c r="D16" s="116" t="s">
        <v>179</v>
      </c>
      <c r="E16" s="117">
        <v>0.01</v>
      </c>
      <c r="F16" s="117">
        <v>0.1</v>
      </c>
      <c r="G16" s="117">
        <v>0.01</v>
      </c>
      <c r="H16" s="117">
        <v>0.1</v>
      </c>
      <c r="I16" s="117">
        <f t="shared" si="3"/>
        <v>5.5E-2</v>
      </c>
      <c r="J16" s="188">
        <f>VLOOKUP(D16,'Existing Building EUI'!$B$7:$E$16,3,FALSE)</f>
        <v>201</v>
      </c>
      <c r="K16" s="188">
        <f>VLOOKUP(D16,'Existing Building EUI'!$B$7:$E$16,4,FALSE)</f>
        <v>284</v>
      </c>
      <c r="L16" s="189">
        <v>0.01</v>
      </c>
      <c r="M16" s="117">
        <v>0.12</v>
      </c>
      <c r="N16" s="189">
        <v>0.01</v>
      </c>
      <c r="O16" s="134">
        <v>0.08</v>
      </c>
      <c r="P16" s="117">
        <v>0</v>
      </c>
      <c r="Q16" s="117">
        <v>0</v>
      </c>
      <c r="R16" s="117">
        <v>0</v>
      </c>
      <c r="S16" s="117">
        <v>0</v>
      </c>
      <c r="T16" s="131">
        <f t="shared" si="4"/>
        <v>198.99</v>
      </c>
      <c r="U16" s="131">
        <f t="shared" si="5"/>
        <v>176.88</v>
      </c>
      <c r="V16" s="131">
        <f t="shared" si="6"/>
        <v>281.16000000000003</v>
      </c>
      <c r="W16" s="131">
        <f t="shared" si="7"/>
        <v>261.27999999999997</v>
      </c>
      <c r="X16" s="131">
        <f t="shared" si="10"/>
        <v>0</v>
      </c>
      <c r="Y16" s="131">
        <f t="shared" si="9"/>
        <v>0</v>
      </c>
      <c r="Z16" s="183">
        <f t="shared" si="1"/>
        <v>9.9999999999999291E-3</v>
      </c>
      <c r="AA16" s="134">
        <f t="shared" si="2"/>
        <v>9.6577319587628926E-2</v>
      </c>
      <c r="AB16" s="190">
        <v>1</v>
      </c>
      <c r="AC16" s="190">
        <v>10</v>
      </c>
    </row>
    <row r="17" spans="2:29" s="187" customFormat="1" ht="42.75" hidden="1" customHeight="1" x14ac:dyDescent="0.35">
      <c r="B17" s="114" t="str">
        <f t="shared" si="0"/>
        <v>Building Envelope - High Performance Glazing, Wall Insulation, &amp; Roof InsulationEducational Facility</v>
      </c>
      <c r="C17" s="115" t="s">
        <v>196</v>
      </c>
      <c r="D17" s="116" t="s">
        <v>179</v>
      </c>
      <c r="E17" s="117">
        <v>0.11</v>
      </c>
      <c r="F17" s="117">
        <v>0.2</v>
      </c>
      <c r="G17" s="117">
        <v>0.11</v>
      </c>
      <c r="H17" s="117">
        <v>0.2</v>
      </c>
      <c r="I17" s="117">
        <f t="shared" si="3"/>
        <v>0.155</v>
      </c>
      <c r="J17" s="188">
        <f>VLOOKUP(D17,'Existing Building EUI'!$B$7:$E$16,3,FALSE)</f>
        <v>201</v>
      </c>
      <c r="K17" s="188">
        <f>VLOOKUP(D17,'Existing Building EUI'!$B$7:$E$16,4,FALSE)</f>
        <v>284</v>
      </c>
      <c r="L17" s="189">
        <v>0.15</v>
      </c>
      <c r="M17" s="117">
        <v>0.2</v>
      </c>
      <c r="N17" s="183">
        <v>0.08</v>
      </c>
      <c r="O17" s="134">
        <v>0.15</v>
      </c>
      <c r="P17" s="117">
        <v>0</v>
      </c>
      <c r="Q17" s="117">
        <v>0</v>
      </c>
      <c r="R17" s="117">
        <v>0</v>
      </c>
      <c r="S17" s="117">
        <v>0</v>
      </c>
      <c r="T17" s="131">
        <f t="shared" si="4"/>
        <v>170.85</v>
      </c>
      <c r="U17" s="131">
        <f t="shared" si="5"/>
        <v>160.80000000000001</v>
      </c>
      <c r="V17" s="131">
        <f t="shared" si="6"/>
        <v>261.27999999999997</v>
      </c>
      <c r="W17" s="131">
        <f t="shared" si="7"/>
        <v>241.4</v>
      </c>
      <c r="X17" s="131">
        <f t="shared" si="10"/>
        <v>0</v>
      </c>
      <c r="Y17" s="131">
        <f t="shared" si="9"/>
        <v>0</v>
      </c>
      <c r="Z17" s="183">
        <f t="shared" si="1"/>
        <v>0.10901030927835052</v>
      </c>
      <c r="AA17" s="134">
        <f t="shared" si="2"/>
        <v>0.170721649484536</v>
      </c>
      <c r="AB17" s="190">
        <v>11</v>
      </c>
      <c r="AC17" s="190">
        <v>25</v>
      </c>
    </row>
    <row r="18" spans="2:29" s="187" customFormat="1" ht="42" x14ac:dyDescent="0.35">
      <c r="B18" s="114" t="str">
        <f t="shared" si="0"/>
        <v>Domestic Hot Water - Heat Pump and Electric Resistance Water HeatersEducational Facility</v>
      </c>
      <c r="C18" s="115" t="s">
        <v>197</v>
      </c>
      <c r="D18" s="116" t="s">
        <v>179</v>
      </c>
      <c r="E18" s="117">
        <v>0.01</v>
      </c>
      <c r="F18" s="117">
        <v>0.05</v>
      </c>
      <c r="G18" s="117">
        <v>0.01</v>
      </c>
      <c r="H18" s="117">
        <v>0.15</v>
      </c>
      <c r="I18" s="117">
        <f t="shared" si="3"/>
        <v>0.08</v>
      </c>
      <c r="J18" s="188">
        <f>VLOOKUP(D18,'Existing Building EUI'!$B$7:$E$16,3,FALSE)</f>
        <v>201</v>
      </c>
      <c r="K18" s="188">
        <f>VLOOKUP(D18,'Existing Building EUI'!$B$7:$E$16,4,FALSE)</f>
        <v>284</v>
      </c>
      <c r="L18" s="189">
        <v>0.02</v>
      </c>
      <c r="M18" s="117">
        <v>0.15</v>
      </c>
      <c r="N18" s="183">
        <v>0</v>
      </c>
      <c r="O18" s="134">
        <v>0</v>
      </c>
      <c r="P18" s="117">
        <v>0</v>
      </c>
      <c r="Q18" s="117">
        <v>0</v>
      </c>
      <c r="R18" s="133">
        <f>L18/-4</f>
        <v>-5.0000000000000001E-3</v>
      </c>
      <c r="S18" s="133">
        <f>M18/-4</f>
        <v>-3.7499999999999999E-2</v>
      </c>
      <c r="T18" s="131">
        <f t="shared" si="4"/>
        <v>196.98</v>
      </c>
      <c r="U18" s="131">
        <f t="shared" si="5"/>
        <v>170.85</v>
      </c>
      <c r="V18" s="131">
        <f t="shared" si="6"/>
        <v>285.005</v>
      </c>
      <c r="W18" s="131">
        <f t="shared" si="7"/>
        <v>291.53750000000002</v>
      </c>
      <c r="X18" s="131">
        <f t="shared" si="10"/>
        <v>0</v>
      </c>
      <c r="Y18" s="131">
        <f t="shared" si="9"/>
        <v>0</v>
      </c>
      <c r="Z18" s="183">
        <f t="shared" si="1"/>
        <v>6.2164948453607965E-3</v>
      </c>
      <c r="AA18" s="134">
        <f t="shared" si="2"/>
        <v>4.6623711340206091E-2</v>
      </c>
      <c r="AB18" s="190">
        <v>1</v>
      </c>
      <c r="AC18" s="190">
        <v>10</v>
      </c>
    </row>
    <row r="19" spans="2:29" s="187" customFormat="1" ht="70" hidden="1" x14ac:dyDescent="0.35">
      <c r="B19" s="114" t="str">
        <f t="shared" si="0"/>
        <v>Heating, Cooling, Ventilation Systems - Low Carbon District Energy System + Energy Recovery Ventilators + Electric HumidifierEducational Facility</v>
      </c>
      <c r="C19" s="244" t="s">
        <v>343</v>
      </c>
      <c r="D19" s="116" t="s">
        <v>179</v>
      </c>
      <c r="E19" s="117">
        <v>0.22</v>
      </c>
      <c r="F19" s="117">
        <v>0.4</v>
      </c>
      <c r="G19" s="117">
        <v>0.3</v>
      </c>
      <c r="H19" s="117">
        <v>0.75</v>
      </c>
      <c r="I19" s="117">
        <f t="shared" si="3"/>
        <v>0.52500000000000002</v>
      </c>
      <c r="J19" s="188">
        <f>VLOOKUP(D19,'Existing Building EUI'!$B$7:$E$16,3,FALSE)</f>
        <v>201</v>
      </c>
      <c r="K19" s="188">
        <f>VLOOKUP(D19,'Existing Building EUI'!$B$7:$E$16,4,FALSE)</f>
        <v>284</v>
      </c>
      <c r="L19" s="189">
        <v>0.85</v>
      </c>
      <c r="M19" s="117">
        <v>0.98</v>
      </c>
      <c r="N19" s="183">
        <v>0.08</v>
      </c>
      <c r="O19" s="134">
        <v>0.1</v>
      </c>
      <c r="P19" s="117">
        <f>L19*-0.7</f>
        <v>-0.59499999999999997</v>
      </c>
      <c r="Q19" s="117">
        <f>M19*-0.7</f>
        <v>-0.68599999999999994</v>
      </c>
      <c r="R19" s="117">
        <v>0</v>
      </c>
      <c r="S19" s="117">
        <v>0</v>
      </c>
      <c r="T19" s="131">
        <f t="shared" si="4"/>
        <v>30.150000000000006</v>
      </c>
      <c r="U19" s="131">
        <f t="shared" si="5"/>
        <v>4.0200000000000102</v>
      </c>
      <c r="V19" s="131">
        <f t="shared" si="6"/>
        <v>261.27999999999997</v>
      </c>
      <c r="W19" s="131">
        <f t="shared" si="7"/>
        <v>255.6</v>
      </c>
      <c r="X19" s="131">
        <f t="shared" si="10"/>
        <v>119.595</v>
      </c>
      <c r="Y19" s="131">
        <f>(Q19*J19)*-1</f>
        <v>137.886</v>
      </c>
      <c r="Z19" s="183">
        <f t="shared" si="1"/>
        <v>0.15252577319587635</v>
      </c>
      <c r="AA19" s="134">
        <f t="shared" si="2"/>
        <v>0.18040000000000006</v>
      </c>
      <c r="AB19" s="190">
        <v>11</v>
      </c>
      <c r="AC19" s="190">
        <v>25</v>
      </c>
    </row>
    <row r="20" spans="2:29" s="187" customFormat="1" ht="70" hidden="1" x14ac:dyDescent="0.35">
      <c r="B20" s="114" t="str">
        <f t="shared" si="0"/>
        <v>Heating, Cooling, Ventilation Systems - Air Source Heat Pumps + Energy Recovery Ventilators + Electric HumidifierEducational Facility</v>
      </c>
      <c r="C20" s="164" t="s">
        <v>292</v>
      </c>
      <c r="D20" s="116" t="s">
        <v>179</v>
      </c>
      <c r="E20" s="117">
        <v>0.22</v>
      </c>
      <c r="F20" s="117">
        <v>0.4</v>
      </c>
      <c r="G20" s="117">
        <v>0.3</v>
      </c>
      <c r="H20" s="117">
        <v>0.75</v>
      </c>
      <c r="I20" s="117">
        <f t="shared" si="3"/>
        <v>0.52500000000000002</v>
      </c>
      <c r="J20" s="188">
        <f>VLOOKUP(D20,'Existing Building EUI'!$B$7:$E$16,3,FALSE)</f>
        <v>201</v>
      </c>
      <c r="K20" s="188">
        <f>VLOOKUP(D20,'Existing Building EUI'!$B$7:$E$16,4,FALSE)</f>
        <v>284</v>
      </c>
      <c r="L20" s="189">
        <v>0.8</v>
      </c>
      <c r="M20" s="117">
        <v>0.98</v>
      </c>
      <c r="N20" s="183">
        <v>0.08</v>
      </c>
      <c r="O20" s="134">
        <v>0.1</v>
      </c>
      <c r="P20" s="117">
        <v>0</v>
      </c>
      <c r="Q20" s="117">
        <v>0</v>
      </c>
      <c r="R20" s="133">
        <f t="shared" ref="R20:S22" si="11">L20/-2</f>
        <v>-0.4</v>
      </c>
      <c r="S20" s="133">
        <f t="shared" si="11"/>
        <v>-0.49</v>
      </c>
      <c r="T20" s="131">
        <f t="shared" si="4"/>
        <v>40.199999999999989</v>
      </c>
      <c r="U20" s="131">
        <f t="shared" si="5"/>
        <v>4.0200000000000102</v>
      </c>
      <c r="V20" s="131">
        <f t="shared" si="6"/>
        <v>341.68</v>
      </c>
      <c r="W20" s="131">
        <f t="shared" si="7"/>
        <v>354.09</v>
      </c>
      <c r="X20" s="131">
        <f t="shared" si="10"/>
        <v>0</v>
      </c>
      <c r="Y20" s="131">
        <f t="shared" si="9"/>
        <v>0</v>
      </c>
      <c r="Z20" s="183">
        <f t="shared" si="1"/>
        <v>0.21261855670103094</v>
      </c>
      <c r="AA20" s="134">
        <f t="shared" si="2"/>
        <v>0.2616288659793814</v>
      </c>
      <c r="AB20" s="190">
        <v>11</v>
      </c>
      <c r="AC20" s="190">
        <v>25</v>
      </c>
    </row>
    <row r="21" spans="2:29" s="187" customFormat="1" ht="70" hidden="1" x14ac:dyDescent="0.35">
      <c r="B21" s="114" t="str">
        <f t="shared" si="0"/>
        <v>Heating, Cooling, Ventilation Systems  - Ground Source Heat Pumps + Energy Recovery Ventilators + Electric HumidifierEducational Facility</v>
      </c>
      <c r="C21" s="164" t="s">
        <v>293</v>
      </c>
      <c r="D21" s="116" t="s">
        <v>179</v>
      </c>
      <c r="E21" s="117">
        <v>0.22</v>
      </c>
      <c r="F21" s="117">
        <v>0.4</v>
      </c>
      <c r="G21" s="117">
        <v>0.3</v>
      </c>
      <c r="H21" s="117">
        <v>0.75</v>
      </c>
      <c r="I21" s="117">
        <f t="shared" si="3"/>
        <v>0.52500000000000002</v>
      </c>
      <c r="J21" s="188">
        <f>VLOOKUP(D21,'Existing Building EUI'!$B$7:$E$16,3,FALSE)</f>
        <v>201</v>
      </c>
      <c r="K21" s="188">
        <f>VLOOKUP(D21,'Existing Building EUI'!$B$7:$E$16,4,FALSE)</f>
        <v>284</v>
      </c>
      <c r="L21" s="189">
        <v>0.8</v>
      </c>
      <c r="M21" s="117">
        <v>0.98</v>
      </c>
      <c r="N21" s="183">
        <v>0.08</v>
      </c>
      <c r="O21" s="134">
        <v>0.1</v>
      </c>
      <c r="P21" s="117">
        <v>0</v>
      </c>
      <c r="Q21" s="117">
        <v>0</v>
      </c>
      <c r="R21" s="133">
        <f>L21/-3</f>
        <v>-0.26666666666666666</v>
      </c>
      <c r="S21" s="133">
        <f>M21/-3</f>
        <v>-0.32666666666666666</v>
      </c>
      <c r="T21" s="131">
        <f t="shared" si="4"/>
        <v>40.199999999999989</v>
      </c>
      <c r="U21" s="131">
        <f t="shared" si="5"/>
        <v>4.0200000000000102</v>
      </c>
      <c r="V21" s="131">
        <f t="shared" si="6"/>
        <v>314.88</v>
      </c>
      <c r="W21" s="131">
        <f t="shared" si="7"/>
        <v>321.26</v>
      </c>
      <c r="X21" s="131">
        <f t="shared" si="10"/>
        <v>0</v>
      </c>
      <c r="Y21" s="131">
        <f t="shared" si="9"/>
        <v>0</v>
      </c>
      <c r="Z21" s="183">
        <f t="shared" si="1"/>
        <v>0.26787628865979385</v>
      </c>
      <c r="AA21" s="134">
        <f t="shared" si="2"/>
        <v>0.32931958762886604</v>
      </c>
      <c r="AB21" s="190">
        <v>11</v>
      </c>
      <c r="AC21" s="190">
        <v>25</v>
      </c>
    </row>
    <row r="22" spans="2:29" s="187" customFormat="1" ht="28" hidden="1" x14ac:dyDescent="0.35">
      <c r="B22" s="114" t="str">
        <f t="shared" si="0"/>
        <v>Gas Appliances - Electric and Induction RangesEducational Facility</v>
      </c>
      <c r="C22" s="115" t="s">
        <v>201</v>
      </c>
      <c r="D22" s="116" t="s">
        <v>179</v>
      </c>
      <c r="E22" s="117">
        <v>0.01</v>
      </c>
      <c r="F22" s="117">
        <v>0.1</v>
      </c>
      <c r="G22" s="117">
        <v>0.1</v>
      </c>
      <c r="H22" s="117">
        <v>0.15</v>
      </c>
      <c r="I22" s="117">
        <f t="shared" si="3"/>
        <v>0.125</v>
      </c>
      <c r="J22" s="188">
        <f>VLOOKUP(D22,'Existing Building EUI'!$B$7:$E$16,3,FALSE)</f>
        <v>201</v>
      </c>
      <c r="K22" s="188">
        <f>VLOOKUP(D22,'Existing Building EUI'!$B$7:$E$16,4,FALSE)</f>
        <v>284</v>
      </c>
      <c r="L22" s="189">
        <v>0.05</v>
      </c>
      <c r="M22" s="117">
        <v>0.15</v>
      </c>
      <c r="N22" s="184">
        <v>0</v>
      </c>
      <c r="O22" s="134">
        <v>0</v>
      </c>
      <c r="P22" s="117">
        <v>0</v>
      </c>
      <c r="Q22" s="117">
        <v>0</v>
      </c>
      <c r="R22" s="133">
        <f t="shared" si="11"/>
        <v>-2.5000000000000001E-2</v>
      </c>
      <c r="S22" s="133">
        <f t="shared" si="11"/>
        <v>-7.4999999999999997E-2</v>
      </c>
      <c r="T22" s="131">
        <f t="shared" si="4"/>
        <v>190.95</v>
      </c>
      <c r="U22" s="131">
        <f t="shared" si="5"/>
        <v>170.85</v>
      </c>
      <c r="V22" s="131">
        <f t="shared" si="6"/>
        <v>289.02499999999998</v>
      </c>
      <c r="W22" s="131">
        <f t="shared" si="7"/>
        <v>299.07499999999999</v>
      </c>
      <c r="X22" s="131">
        <f t="shared" si="10"/>
        <v>0</v>
      </c>
      <c r="Y22" s="131">
        <f t="shared" si="9"/>
        <v>0</v>
      </c>
      <c r="Z22" s="183">
        <f t="shared" si="1"/>
        <v>1.0360824742268111E-2</v>
      </c>
      <c r="AA22" s="134">
        <f t="shared" si="2"/>
        <v>3.1082474226804217E-2</v>
      </c>
      <c r="AB22" s="190">
        <v>1</v>
      </c>
      <c r="AC22" s="190">
        <v>10</v>
      </c>
    </row>
    <row r="23" spans="2:29" s="187" customFormat="1" ht="28" hidden="1" x14ac:dyDescent="0.35">
      <c r="B23" s="114" t="str">
        <f t="shared" si="0"/>
        <v>Lighting and Lighting ControlsEducational Facility</v>
      </c>
      <c r="C23" s="115" t="s">
        <v>198</v>
      </c>
      <c r="D23" s="116" t="s">
        <v>179</v>
      </c>
      <c r="E23" s="117">
        <v>0.01</v>
      </c>
      <c r="F23" s="117">
        <v>0.1</v>
      </c>
      <c r="G23" s="117">
        <v>0.01</v>
      </c>
      <c r="H23" s="117">
        <v>0.05</v>
      </c>
      <c r="I23" s="117">
        <f t="shared" si="3"/>
        <v>3.0000000000000002E-2</v>
      </c>
      <c r="J23" s="188">
        <f>VLOOKUP(D23,'Existing Building EUI'!$B$7:$E$16,3,FALSE)</f>
        <v>201</v>
      </c>
      <c r="K23" s="188">
        <f>VLOOKUP(D23,'Existing Building EUI'!$B$7:$E$16,4,FALSE)</f>
        <v>284</v>
      </c>
      <c r="L23" s="189">
        <v>0</v>
      </c>
      <c r="M23" s="117">
        <v>0</v>
      </c>
      <c r="N23" s="183">
        <v>0.01</v>
      </c>
      <c r="O23" s="134">
        <v>0.17</v>
      </c>
      <c r="P23" s="117">
        <v>0</v>
      </c>
      <c r="Q23" s="117">
        <v>0</v>
      </c>
      <c r="R23" s="117">
        <v>0</v>
      </c>
      <c r="S23" s="117">
        <v>0</v>
      </c>
      <c r="T23" s="131">
        <f t="shared" si="4"/>
        <v>201</v>
      </c>
      <c r="U23" s="131">
        <f t="shared" si="5"/>
        <v>201</v>
      </c>
      <c r="V23" s="131">
        <f t="shared" si="6"/>
        <v>281.16000000000003</v>
      </c>
      <c r="W23" s="131">
        <f t="shared" si="7"/>
        <v>235.72</v>
      </c>
      <c r="X23" s="131">
        <f t="shared" si="10"/>
        <v>0</v>
      </c>
      <c r="Y23" s="131">
        <f t="shared" si="9"/>
        <v>0</v>
      </c>
      <c r="Z23" s="183">
        <f t="shared" si="1"/>
        <v>5.8556701030927317E-3</v>
      </c>
      <c r="AA23" s="134">
        <f t="shared" si="2"/>
        <v>9.9546391752577262E-2</v>
      </c>
      <c r="AB23" s="190">
        <v>1</v>
      </c>
      <c r="AC23" s="190">
        <v>10</v>
      </c>
    </row>
    <row r="24" spans="2:29" s="187" customFormat="1" ht="28" hidden="1" x14ac:dyDescent="0.35">
      <c r="B24" s="114" t="str">
        <f t="shared" si="0"/>
        <v>Renewables - Solar ThermalEducational Facility</v>
      </c>
      <c r="C24" s="115" t="s">
        <v>200</v>
      </c>
      <c r="D24" s="116" t="s">
        <v>179</v>
      </c>
      <c r="E24" s="117">
        <v>0.01</v>
      </c>
      <c r="F24" s="117">
        <v>0.1</v>
      </c>
      <c r="G24" s="117">
        <v>0.01</v>
      </c>
      <c r="H24" s="117">
        <v>0.03</v>
      </c>
      <c r="I24" s="117">
        <f t="shared" si="3"/>
        <v>0.02</v>
      </c>
      <c r="J24" s="188">
        <f>VLOOKUP(D24,'Existing Building EUI'!$B$7:$E$16,3,FALSE)</f>
        <v>201</v>
      </c>
      <c r="K24" s="188">
        <f>VLOOKUP(D24,'Existing Building EUI'!$B$7:$E$16,4,FALSE)</f>
        <v>284</v>
      </c>
      <c r="L24" s="189">
        <v>0.02</v>
      </c>
      <c r="M24" s="117">
        <v>0.1</v>
      </c>
      <c r="N24" s="183">
        <v>0</v>
      </c>
      <c r="O24" s="134">
        <v>0</v>
      </c>
      <c r="P24" s="117">
        <v>0</v>
      </c>
      <c r="Q24" s="117">
        <v>0</v>
      </c>
      <c r="R24" s="117">
        <v>0</v>
      </c>
      <c r="S24" s="117">
        <v>0</v>
      </c>
      <c r="T24" s="131">
        <f t="shared" si="4"/>
        <v>196.98</v>
      </c>
      <c r="U24" s="131">
        <f t="shared" si="5"/>
        <v>180.9</v>
      </c>
      <c r="V24" s="131">
        <f t="shared" si="6"/>
        <v>284</v>
      </c>
      <c r="W24" s="131">
        <f t="shared" si="7"/>
        <v>284</v>
      </c>
      <c r="X24" s="131">
        <f t="shared" si="10"/>
        <v>0</v>
      </c>
      <c r="Y24" s="131">
        <f t="shared" si="9"/>
        <v>0</v>
      </c>
      <c r="Z24" s="183">
        <f t="shared" si="1"/>
        <v>8.2886597938143947E-3</v>
      </c>
      <c r="AA24" s="134">
        <f t="shared" si="2"/>
        <v>4.1443298969072215E-2</v>
      </c>
      <c r="AB24" s="190">
        <v>26</v>
      </c>
      <c r="AC24" s="190">
        <v>50</v>
      </c>
    </row>
    <row r="25" spans="2:29" s="187" customFormat="1" ht="28" hidden="1" x14ac:dyDescent="0.35">
      <c r="B25" s="114" t="str">
        <f t="shared" si="0"/>
        <v>Renewables - Solar PVEducational Facility</v>
      </c>
      <c r="C25" s="115" t="s">
        <v>199</v>
      </c>
      <c r="D25" s="116" t="s">
        <v>179</v>
      </c>
      <c r="E25" s="117">
        <v>0.01</v>
      </c>
      <c r="F25" s="117">
        <v>0.1</v>
      </c>
      <c r="G25" s="117">
        <v>0.01</v>
      </c>
      <c r="H25" s="117">
        <v>0.03</v>
      </c>
      <c r="I25" s="117">
        <f t="shared" si="3"/>
        <v>0.02</v>
      </c>
      <c r="J25" s="188">
        <f>VLOOKUP(D25,'Existing Building EUI'!$B$7:$E$16,3,FALSE)</f>
        <v>201</v>
      </c>
      <c r="K25" s="188">
        <f>VLOOKUP(D25,'Existing Building EUI'!$B$7:$E$16,4,FALSE)</f>
        <v>284</v>
      </c>
      <c r="L25" s="189">
        <v>0</v>
      </c>
      <c r="M25" s="117">
        <v>0</v>
      </c>
      <c r="N25" s="183">
        <v>0.02</v>
      </c>
      <c r="O25" s="134">
        <v>0.17</v>
      </c>
      <c r="P25" s="117">
        <v>0</v>
      </c>
      <c r="Q25" s="117">
        <v>0</v>
      </c>
      <c r="R25" s="117">
        <v>0</v>
      </c>
      <c r="S25" s="117">
        <v>0</v>
      </c>
      <c r="T25" s="131">
        <f t="shared" si="4"/>
        <v>201</v>
      </c>
      <c r="U25" s="131">
        <f t="shared" si="5"/>
        <v>201</v>
      </c>
      <c r="V25" s="131">
        <f t="shared" si="6"/>
        <v>278.32</v>
      </c>
      <c r="W25" s="131">
        <f t="shared" si="7"/>
        <v>235.72</v>
      </c>
      <c r="X25" s="131">
        <f t="shared" si="10"/>
        <v>0</v>
      </c>
      <c r="Y25" s="131">
        <f t="shared" si="9"/>
        <v>0</v>
      </c>
      <c r="Z25" s="183">
        <f t="shared" si="1"/>
        <v>1.1711340206185581E-2</v>
      </c>
      <c r="AA25" s="134">
        <f t="shared" si="2"/>
        <v>9.9546391752577262E-2</v>
      </c>
      <c r="AB25" s="190">
        <v>26</v>
      </c>
      <c r="AC25" s="190">
        <v>50</v>
      </c>
    </row>
    <row r="26" spans="2:29" s="187" customFormat="1" ht="42" hidden="1" x14ac:dyDescent="0.35">
      <c r="B26" s="114" t="str">
        <f t="shared" si="0"/>
        <v>Building Envelope - High Performance Glazing with Enhanced Air SealingBig Box Store</v>
      </c>
      <c r="C26" s="115" t="s">
        <v>195</v>
      </c>
      <c r="D26" s="116" t="s">
        <v>180</v>
      </c>
      <c r="E26" s="117">
        <v>0.11</v>
      </c>
      <c r="F26" s="117">
        <v>0.2</v>
      </c>
      <c r="G26" s="117">
        <v>0.21</v>
      </c>
      <c r="H26" s="117">
        <v>0.3</v>
      </c>
      <c r="I26" s="117">
        <f t="shared" si="3"/>
        <v>0.255</v>
      </c>
      <c r="J26" s="188">
        <f>VLOOKUP(D26,'Existing Building EUI'!$B$7:$E$16,3,FALSE)</f>
        <v>159</v>
      </c>
      <c r="K26" s="188">
        <f>VLOOKUP(D26,'Existing Building EUI'!$B$7:$E$16,4,FALSE)</f>
        <v>231</v>
      </c>
      <c r="L26" s="189">
        <v>0.15</v>
      </c>
      <c r="M26" s="117">
        <v>0.2</v>
      </c>
      <c r="N26" s="183">
        <v>0.08</v>
      </c>
      <c r="O26" s="134">
        <v>0.15</v>
      </c>
      <c r="P26" s="117">
        <v>0</v>
      </c>
      <c r="Q26" s="117">
        <v>0</v>
      </c>
      <c r="R26" s="117">
        <v>0</v>
      </c>
      <c r="S26" s="117">
        <v>0</v>
      </c>
      <c r="T26" s="131">
        <f t="shared" si="4"/>
        <v>135.15</v>
      </c>
      <c r="U26" s="131">
        <f t="shared" si="5"/>
        <v>127.2</v>
      </c>
      <c r="V26" s="131">
        <f t="shared" si="6"/>
        <v>212.52</v>
      </c>
      <c r="W26" s="131">
        <f t="shared" si="7"/>
        <v>196.35</v>
      </c>
      <c r="X26" s="131">
        <f t="shared" si="10"/>
        <v>0</v>
      </c>
      <c r="Y26" s="131">
        <f t="shared" si="9"/>
        <v>0</v>
      </c>
      <c r="Z26" s="183">
        <f t="shared" si="1"/>
        <v>0.1085384615384615</v>
      </c>
      <c r="AA26" s="134">
        <f t="shared" si="2"/>
        <v>0.17038461538461536</v>
      </c>
      <c r="AB26" s="190">
        <v>1</v>
      </c>
      <c r="AC26" s="190">
        <v>10</v>
      </c>
    </row>
    <row r="27" spans="2:29" s="187" customFormat="1" ht="42" hidden="1" x14ac:dyDescent="0.35">
      <c r="B27" s="114" t="str">
        <f t="shared" si="0"/>
        <v>Building Envelope - High Performance Glazing, Wall Insulation, &amp; Roof InsulationBig Box Store</v>
      </c>
      <c r="C27" s="115" t="s">
        <v>196</v>
      </c>
      <c r="D27" s="116" t="s">
        <v>180</v>
      </c>
      <c r="E27" s="117">
        <v>0.21</v>
      </c>
      <c r="F27" s="117">
        <v>0.3</v>
      </c>
      <c r="G27" s="117">
        <v>0.21</v>
      </c>
      <c r="H27" s="117">
        <v>0.3</v>
      </c>
      <c r="I27" s="117">
        <f t="shared" si="3"/>
        <v>0.255</v>
      </c>
      <c r="J27" s="188">
        <f>VLOOKUP(D27,'Existing Building EUI'!$B$7:$E$16,3,FALSE)</f>
        <v>159</v>
      </c>
      <c r="K27" s="188">
        <f>VLOOKUP(D27,'Existing Building EUI'!$B$7:$E$16,4,FALSE)</f>
        <v>231</v>
      </c>
      <c r="L27" s="189">
        <v>0.25</v>
      </c>
      <c r="M27" s="117">
        <v>0.35</v>
      </c>
      <c r="N27" s="183">
        <v>0.18</v>
      </c>
      <c r="O27" s="134">
        <v>0.2</v>
      </c>
      <c r="P27" s="117">
        <v>0</v>
      </c>
      <c r="Q27" s="117">
        <v>0</v>
      </c>
      <c r="R27" s="117">
        <v>0</v>
      </c>
      <c r="S27" s="117">
        <v>0</v>
      </c>
      <c r="T27" s="131">
        <f t="shared" si="4"/>
        <v>119.25</v>
      </c>
      <c r="U27" s="131">
        <f t="shared" si="5"/>
        <v>103.35</v>
      </c>
      <c r="V27" s="131">
        <f t="shared" si="6"/>
        <v>189.42000000000002</v>
      </c>
      <c r="W27" s="131">
        <f t="shared" si="7"/>
        <v>184.8</v>
      </c>
      <c r="X27" s="131">
        <f t="shared" si="10"/>
        <v>0</v>
      </c>
      <c r="Y27" s="131">
        <f t="shared" si="9"/>
        <v>0</v>
      </c>
      <c r="Z27" s="183">
        <f t="shared" si="1"/>
        <v>0.20853846153846151</v>
      </c>
      <c r="AA27" s="134">
        <f t="shared" si="2"/>
        <v>0.26115384615384624</v>
      </c>
      <c r="AB27" s="190">
        <v>11</v>
      </c>
      <c r="AC27" s="190">
        <v>25</v>
      </c>
    </row>
    <row r="28" spans="2:29" s="187" customFormat="1" ht="28" x14ac:dyDescent="0.35">
      <c r="B28" s="114" t="str">
        <f t="shared" si="0"/>
        <v>Domestic Hot Water - Electric Water HeaterBig Box Store</v>
      </c>
      <c r="C28" s="115" t="s">
        <v>202</v>
      </c>
      <c r="D28" s="116" t="s">
        <v>180</v>
      </c>
      <c r="E28" s="117">
        <v>0.01</v>
      </c>
      <c r="F28" s="117">
        <v>0.05</v>
      </c>
      <c r="G28" s="117">
        <v>0.01</v>
      </c>
      <c r="H28" s="117">
        <v>0.1</v>
      </c>
      <c r="I28" s="117">
        <f>AVERAGE(G28:H28)</f>
        <v>5.5E-2</v>
      </c>
      <c r="J28" s="188">
        <f>VLOOKUP(D28,'Existing Building EUI'!$B$7:$E$16,3,FALSE)</f>
        <v>159</v>
      </c>
      <c r="K28" s="188">
        <f>VLOOKUP(D28,'Existing Building EUI'!$B$7:$E$16,4,FALSE)</f>
        <v>231</v>
      </c>
      <c r="L28" s="189">
        <v>0.02</v>
      </c>
      <c r="M28" s="117">
        <v>0.15</v>
      </c>
      <c r="N28" s="183">
        <v>0</v>
      </c>
      <c r="O28" s="134">
        <v>0</v>
      </c>
      <c r="P28" s="117">
        <v>0</v>
      </c>
      <c r="Q28" s="117">
        <v>0</v>
      </c>
      <c r="R28" s="133">
        <f>L28/-4</f>
        <v>-5.0000000000000001E-3</v>
      </c>
      <c r="S28" s="133">
        <f>M28/-4</f>
        <v>-3.7499999999999999E-2</v>
      </c>
      <c r="T28" s="131">
        <f t="shared" si="4"/>
        <v>155.82</v>
      </c>
      <c r="U28" s="131">
        <f t="shared" si="5"/>
        <v>135.15</v>
      </c>
      <c r="V28" s="131">
        <f t="shared" si="6"/>
        <v>231.79499999999999</v>
      </c>
      <c r="W28" s="131">
        <f t="shared" si="7"/>
        <v>236.96250000000001</v>
      </c>
      <c r="X28" s="131">
        <f t="shared" si="10"/>
        <v>0</v>
      </c>
      <c r="Y28" s="131">
        <f t="shared" si="9"/>
        <v>0</v>
      </c>
      <c r="Z28" s="183">
        <f t="shared" si="1"/>
        <v>6.115384615384592E-3</v>
      </c>
      <c r="AA28" s="134">
        <f t="shared" si="2"/>
        <v>4.5865384615384586E-2</v>
      </c>
      <c r="AB28" s="190">
        <v>0</v>
      </c>
      <c r="AC28" s="190">
        <v>0</v>
      </c>
    </row>
    <row r="29" spans="2:29" s="187" customFormat="1" ht="56" hidden="1" x14ac:dyDescent="0.35">
      <c r="B29" s="114" t="str">
        <f t="shared" si="0"/>
        <v>Heating, Cooling, Ventilation Systems - Rooftop Air Source Heat Pumps + Energy Recovery VentilatorBig Box Store</v>
      </c>
      <c r="C29" s="164" t="s">
        <v>291</v>
      </c>
      <c r="D29" s="116" t="s">
        <v>180</v>
      </c>
      <c r="E29" s="117">
        <v>0.12</v>
      </c>
      <c r="F29" s="117">
        <v>0.3</v>
      </c>
      <c r="G29" s="117">
        <v>0.3</v>
      </c>
      <c r="H29" s="117">
        <v>0.55000000000000004</v>
      </c>
      <c r="I29" s="117">
        <f t="shared" si="3"/>
        <v>0.42500000000000004</v>
      </c>
      <c r="J29" s="188">
        <f>VLOOKUP(D29,'Existing Building EUI'!$B$7:$E$16,3,FALSE)</f>
        <v>159</v>
      </c>
      <c r="K29" s="188">
        <f>VLOOKUP(D29,'Existing Building EUI'!$B$7:$E$16,4,FALSE)</f>
        <v>231</v>
      </c>
      <c r="L29" s="189">
        <v>0.85</v>
      </c>
      <c r="M29" s="117">
        <v>0.97</v>
      </c>
      <c r="N29" s="183">
        <v>0.08</v>
      </c>
      <c r="O29" s="134">
        <v>0.1</v>
      </c>
      <c r="P29" s="117">
        <v>0</v>
      </c>
      <c r="Q29" s="117">
        <v>0</v>
      </c>
      <c r="R29" s="133">
        <f>L29/-2</f>
        <v>-0.42499999999999999</v>
      </c>
      <c r="S29" s="133">
        <f>M29/-2</f>
        <v>-0.48499999999999999</v>
      </c>
      <c r="T29" s="131">
        <f t="shared" si="4"/>
        <v>23.849999999999994</v>
      </c>
      <c r="U29" s="131">
        <f t="shared" si="5"/>
        <v>4.7700000000000102</v>
      </c>
      <c r="V29" s="131">
        <f t="shared" si="6"/>
        <v>280.09500000000003</v>
      </c>
      <c r="W29" s="131">
        <f t="shared" si="7"/>
        <v>285.01499999999999</v>
      </c>
      <c r="X29" s="131">
        <f t="shared" si="10"/>
        <v>0</v>
      </c>
      <c r="Y29" s="131">
        <f t="shared" si="9"/>
        <v>0</v>
      </c>
      <c r="Z29" s="183">
        <f t="shared" si="1"/>
        <v>0.22065384615384603</v>
      </c>
      <c r="AA29" s="134">
        <f t="shared" si="2"/>
        <v>0.25696153846153852</v>
      </c>
      <c r="AB29" s="190">
        <v>11</v>
      </c>
      <c r="AC29" s="190">
        <v>25</v>
      </c>
    </row>
    <row r="30" spans="2:29" s="187" customFormat="1" ht="28" hidden="1" x14ac:dyDescent="0.35">
      <c r="B30" s="114" t="str">
        <f t="shared" si="0"/>
        <v>Lighting and Lighting ControlsBig Box Store</v>
      </c>
      <c r="C30" s="115" t="s">
        <v>198</v>
      </c>
      <c r="D30" s="116" t="s">
        <v>180</v>
      </c>
      <c r="E30" s="117">
        <v>0.01</v>
      </c>
      <c r="F30" s="117">
        <v>0.1</v>
      </c>
      <c r="G30" s="117">
        <v>0.01</v>
      </c>
      <c r="H30" s="117">
        <v>0.1</v>
      </c>
      <c r="I30" s="117">
        <f t="shared" si="3"/>
        <v>5.5E-2</v>
      </c>
      <c r="J30" s="188">
        <f>VLOOKUP(D30,'Existing Building EUI'!$B$7:$E$16,3,FALSE)</f>
        <v>159</v>
      </c>
      <c r="K30" s="188">
        <f>VLOOKUP(D30,'Existing Building EUI'!$B$7:$E$16,4,FALSE)</f>
        <v>231</v>
      </c>
      <c r="L30" s="189">
        <v>0</v>
      </c>
      <c r="M30" s="117">
        <v>0</v>
      </c>
      <c r="N30" s="183">
        <v>0.01</v>
      </c>
      <c r="O30" s="134">
        <v>0.17</v>
      </c>
      <c r="P30" s="117">
        <v>0</v>
      </c>
      <c r="Q30" s="117">
        <v>0</v>
      </c>
      <c r="R30" s="117">
        <v>0</v>
      </c>
      <c r="S30" s="117">
        <v>0</v>
      </c>
      <c r="T30" s="131">
        <f t="shared" si="4"/>
        <v>159</v>
      </c>
      <c r="U30" s="131">
        <f t="shared" si="5"/>
        <v>159</v>
      </c>
      <c r="V30" s="131">
        <f t="shared" si="6"/>
        <v>228.69</v>
      </c>
      <c r="W30" s="131">
        <f t="shared" si="7"/>
        <v>191.73</v>
      </c>
      <c r="X30" s="131">
        <f t="shared" si="10"/>
        <v>0</v>
      </c>
      <c r="Y30" s="131">
        <f t="shared" si="9"/>
        <v>0</v>
      </c>
      <c r="Z30" s="183">
        <f t="shared" si="1"/>
        <v>5.9230769230769293E-3</v>
      </c>
      <c r="AA30" s="134">
        <f t="shared" si="2"/>
        <v>0.10069230769230765</v>
      </c>
      <c r="AB30" s="190">
        <v>1</v>
      </c>
      <c r="AC30" s="190">
        <v>10</v>
      </c>
    </row>
    <row r="31" spans="2:29" s="187" customFormat="1" ht="14.5" hidden="1" x14ac:dyDescent="0.35">
      <c r="B31" s="114" t="str">
        <f t="shared" si="0"/>
        <v>Renewables - Solar PVBig Box Store</v>
      </c>
      <c r="C31" s="115" t="s">
        <v>199</v>
      </c>
      <c r="D31" s="116" t="s">
        <v>180</v>
      </c>
      <c r="E31" s="117">
        <v>0.01</v>
      </c>
      <c r="F31" s="117">
        <v>0.1</v>
      </c>
      <c r="G31" s="117">
        <v>0.01</v>
      </c>
      <c r="H31" s="117">
        <v>0.05</v>
      </c>
      <c r="I31" s="117">
        <f t="shared" si="3"/>
        <v>3.0000000000000002E-2</v>
      </c>
      <c r="J31" s="188">
        <f>VLOOKUP(D31,'Existing Building EUI'!$B$7:$E$16,3,FALSE)</f>
        <v>159</v>
      </c>
      <c r="K31" s="188">
        <f>VLOOKUP(D31,'Existing Building EUI'!$B$7:$E$16,4,FALSE)</f>
        <v>231</v>
      </c>
      <c r="L31" s="189">
        <v>0</v>
      </c>
      <c r="M31" s="117">
        <v>0</v>
      </c>
      <c r="N31" s="183">
        <v>0.02</v>
      </c>
      <c r="O31" s="134">
        <v>0.17</v>
      </c>
      <c r="P31" s="117">
        <v>0</v>
      </c>
      <c r="Q31" s="117">
        <v>0</v>
      </c>
      <c r="R31" s="117">
        <v>0</v>
      </c>
      <c r="S31" s="117">
        <v>0</v>
      </c>
      <c r="T31" s="131">
        <f t="shared" si="4"/>
        <v>159</v>
      </c>
      <c r="U31" s="131">
        <f t="shared" si="5"/>
        <v>159</v>
      </c>
      <c r="V31" s="131">
        <f t="shared" si="6"/>
        <v>226.38</v>
      </c>
      <c r="W31" s="131">
        <f t="shared" si="7"/>
        <v>191.73</v>
      </c>
      <c r="X31" s="131">
        <f t="shared" si="10"/>
        <v>0</v>
      </c>
      <c r="Y31" s="131">
        <f t="shared" si="9"/>
        <v>0</v>
      </c>
      <c r="Z31" s="183">
        <f t="shared" si="1"/>
        <v>1.1846153846153859E-2</v>
      </c>
      <c r="AA31" s="134">
        <f t="shared" si="2"/>
        <v>0.10069230769230765</v>
      </c>
      <c r="AB31" s="190">
        <v>26</v>
      </c>
      <c r="AC31" s="190">
        <v>50</v>
      </c>
    </row>
    <row r="32" spans="2:29" s="187" customFormat="1" ht="42" hidden="1" x14ac:dyDescent="0.35">
      <c r="B32" s="114" t="str">
        <f t="shared" si="0"/>
        <v>Building Envelope - High Performance Glazing with Enhanced Air SealingLow Rise Office</v>
      </c>
      <c r="C32" s="115" t="s">
        <v>195</v>
      </c>
      <c r="D32" s="116" t="s">
        <v>181</v>
      </c>
      <c r="E32" s="117">
        <v>0.01</v>
      </c>
      <c r="F32" s="117">
        <v>0.1</v>
      </c>
      <c r="G32" s="117">
        <v>0.01</v>
      </c>
      <c r="H32" s="117">
        <v>0.1</v>
      </c>
      <c r="I32" s="117">
        <f t="shared" si="3"/>
        <v>5.5E-2</v>
      </c>
      <c r="J32" s="188">
        <f>VLOOKUP(D32,'Existing Building EUI'!$B$7:$E$16,3,FALSE)</f>
        <v>149</v>
      </c>
      <c r="K32" s="188">
        <f>VLOOKUP(D32,'Existing Building EUI'!$B$7:$E$16,4,FALSE)</f>
        <v>204</v>
      </c>
      <c r="L32" s="189">
        <v>0.01</v>
      </c>
      <c r="M32" s="117">
        <v>0.12</v>
      </c>
      <c r="N32" s="189">
        <v>0.01</v>
      </c>
      <c r="O32" s="134">
        <v>0.08</v>
      </c>
      <c r="P32" s="117">
        <v>0</v>
      </c>
      <c r="Q32" s="117">
        <v>0</v>
      </c>
      <c r="R32" s="117">
        <v>0</v>
      </c>
      <c r="S32" s="117">
        <v>0</v>
      </c>
      <c r="T32" s="131">
        <f t="shared" si="4"/>
        <v>147.51</v>
      </c>
      <c r="U32" s="131">
        <f t="shared" si="5"/>
        <v>131.12</v>
      </c>
      <c r="V32" s="131">
        <f t="shared" si="6"/>
        <v>201.96</v>
      </c>
      <c r="W32" s="131">
        <f t="shared" si="7"/>
        <v>187.68</v>
      </c>
      <c r="X32" s="131">
        <f t="shared" si="10"/>
        <v>0</v>
      </c>
      <c r="Y32" s="131">
        <f t="shared" si="9"/>
        <v>0</v>
      </c>
      <c r="Z32" s="183">
        <f t="shared" si="1"/>
        <v>9.9999999999999221E-3</v>
      </c>
      <c r="AA32" s="134">
        <f t="shared" si="2"/>
        <v>9.6883852691218103E-2</v>
      </c>
      <c r="AB32" s="190">
        <v>1</v>
      </c>
      <c r="AC32" s="190">
        <v>10</v>
      </c>
    </row>
    <row r="33" spans="2:29" s="187" customFormat="1" ht="42" hidden="1" x14ac:dyDescent="0.35">
      <c r="B33" s="114" t="str">
        <f t="shared" si="0"/>
        <v>Building Envelope - High Performance Glazing, Wall Insulation, &amp; Roof InsulationLow Rise Office</v>
      </c>
      <c r="C33" s="115" t="s">
        <v>196</v>
      </c>
      <c r="D33" s="116" t="s">
        <v>181</v>
      </c>
      <c r="E33" s="117">
        <v>0.11</v>
      </c>
      <c r="F33" s="117">
        <v>0.2</v>
      </c>
      <c r="G33" s="117">
        <v>0.01</v>
      </c>
      <c r="H33" s="117">
        <v>0.1</v>
      </c>
      <c r="I33" s="117">
        <f t="shared" si="3"/>
        <v>5.5E-2</v>
      </c>
      <c r="J33" s="188">
        <f>VLOOKUP(D33,'Existing Building EUI'!$B$7:$E$16,3,FALSE)</f>
        <v>149</v>
      </c>
      <c r="K33" s="188">
        <f>VLOOKUP(D33,'Existing Building EUI'!$B$7:$E$16,4,FALSE)</f>
        <v>204</v>
      </c>
      <c r="L33" s="189">
        <v>0.15</v>
      </c>
      <c r="M33" s="117">
        <v>0.2</v>
      </c>
      <c r="N33" s="183">
        <v>0.08</v>
      </c>
      <c r="O33" s="134">
        <v>0.15</v>
      </c>
      <c r="P33" s="117">
        <v>0</v>
      </c>
      <c r="Q33" s="117">
        <v>0</v>
      </c>
      <c r="R33" s="117">
        <v>0</v>
      </c>
      <c r="S33" s="117">
        <v>0</v>
      </c>
      <c r="T33" s="131">
        <f t="shared" si="4"/>
        <v>126.65</v>
      </c>
      <c r="U33" s="131">
        <f t="shared" si="5"/>
        <v>119.2</v>
      </c>
      <c r="V33" s="131">
        <f t="shared" si="6"/>
        <v>187.68</v>
      </c>
      <c r="W33" s="131">
        <f t="shared" si="7"/>
        <v>173.4</v>
      </c>
      <c r="X33" s="131">
        <f t="shared" si="10"/>
        <v>0</v>
      </c>
      <c r="Y33" s="131">
        <f t="shared" si="9"/>
        <v>0</v>
      </c>
      <c r="Z33" s="183">
        <f t="shared" si="1"/>
        <v>0.10954674220963161</v>
      </c>
      <c r="AA33" s="134">
        <f t="shared" si="2"/>
        <v>0.1711048158640226</v>
      </c>
      <c r="AB33" s="190">
        <v>11</v>
      </c>
      <c r="AC33" s="190">
        <v>25</v>
      </c>
    </row>
    <row r="34" spans="2:29" s="187" customFormat="1" ht="42" x14ac:dyDescent="0.35">
      <c r="B34" s="114" t="str">
        <f t="shared" si="0"/>
        <v>Domestic Hot Water - Heat Pump and Electric Resistance Water HeatersLow Rise Office</v>
      </c>
      <c r="C34" s="115" t="s">
        <v>197</v>
      </c>
      <c r="D34" s="116" t="s">
        <v>181</v>
      </c>
      <c r="E34" s="118">
        <v>0.01</v>
      </c>
      <c r="F34" s="118">
        <v>0.05</v>
      </c>
      <c r="G34" s="117">
        <v>0.01</v>
      </c>
      <c r="H34" s="117">
        <v>0.1</v>
      </c>
      <c r="I34" s="117">
        <f t="shared" si="3"/>
        <v>5.5E-2</v>
      </c>
      <c r="J34" s="188">
        <f>VLOOKUP(D34,'Existing Building EUI'!$B$7:$E$16,3,FALSE)</f>
        <v>149</v>
      </c>
      <c r="K34" s="188">
        <f>VLOOKUP(D34,'Existing Building EUI'!$B$7:$E$16,4,FALSE)</f>
        <v>204</v>
      </c>
      <c r="L34" s="189">
        <v>0.02</v>
      </c>
      <c r="M34" s="117">
        <v>0.15</v>
      </c>
      <c r="N34" s="183">
        <v>0</v>
      </c>
      <c r="O34" s="134">
        <v>0</v>
      </c>
      <c r="P34" s="117">
        <v>0</v>
      </c>
      <c r="Q34" s="117">
        <v>0</v>
      </c>
      <c r="R34" s="133">
        <f>L34/-4</f>
        <v>-5.0000000000000001E-3</v>
      </c>
      <c r="S34" s="133">
        <f>M34/-4</f>
        <v>-3.7499999999999999E-2</v>
      </c>
      <c r="T34" s="131">
        <f t="shared" si="4"/>
        <v>146.02000000000001</v>
      </c>
      <c r="U34" s="131">
        <f t="shared" si="5"/>
        <v>126.65</v>
      </c>
      <c r="V34" s="131">
        <f t="shared" si="6"/>
        <v>204.745</v>
      </c>
      <c r="W34" s="131">
        <f t="shared" si="7"/>
        <v>209.58750000000001</v>
      </c>
      <c r="X34" s="131">
        <f t="shared" si="10"/>
        <v>0</v>
      </c>
      <c r="Y34" s="131">
        <f t="shared" si="9"/>
        <v>0</v>
      </c>
      <c r="Z34" s="183">
        <f t="shared" si="1"/>
        <v>6.3314447592068375E-3</v>
      </c>
      <c r="AA34" s="134">
        <f t="shared" si="2"/>
        <v>4.748583569405096E-2</v>
      </c>
      <c r="AB34" s="190">
        <v>0</v>
      </c>
      <c r="AC34" s="190">
        <v>0</v>
      </c>
    </row>
    <row r="35" spans="2:29" s="187" customFormat="1" ht="56" hidden="1" x14ac:dyDescent="0.35">
      <c r="B35" s="114" t="str">
        <f t="shared" si="0"/>
        <v>Heating, Cooling, Ventilation Systems - Rooftop Air Source Heat Pump with Electric BaseboardLow Rise Office</v>
      </c>
      <c r="C35" s="164" t="s">
        <v>203</v>
      </c>
      <c r="D35" s="116" t="s">
        <v>181</v>
      </c>
      <c r="E35" s="117">
        <v>0.21</v>
      </c>
      <c r="F35" s="117">
        <v>0.3</v>
      </c>
      <c r="G35" s="117">
        <v>0.3</v>
      </c>
      <c r="H35" s="117">
        <v>0.75</v>
      </c>
      <c r="I35" s="117">
        <f t="shared" si="3"/>
        <v>0.52500000000000002</v>
      </c>
      <c r="J35" s="188">
        <f>VLOOKUP(D35,'Existing Building EUI'!$B$7:$E$16,3,FALSE)</f>
        <v>149</v>
      </c>
      <c r="K35" s="188">
        <f>VLOOKUP(D35,'Existing Building EUI'!$B$7:$E$16,4,FALSE)</f>
        <v>204</v>
      </c>
      <c r="L35" s="189">
        <v>0.85</v>
      </c>
      <c r="M35" s="117">
        <v>0.97</v>
      </c>
      <c r="N35" s="183">
        <v>0.08</v>
      </c>
      <c r="O35" s="134">
        <v>0.1</v>
      </c>
      <c r="P35" s="117">
        <v>0</v>
      </c>
      <c r="Q35" s="117">
        <v>0</v>
      </c>
      <c r="R35" s="133">
        <f>L35/-2</f>
        <v>-0.42499999999999999</v>
      </c>
      <c r="S35" s="133">
        <f>M35/-2</f>
        <v>-0.48499999999999999</v>
      </c>
      <c r="T35" s="131">
        <f t="shared" si="4"/>
        <v>22.350000000000009</v>
      </c>
      <c r="U35" s="131">
        <f t="shared" si="5"/>
        <v>4.4699999999999989</v>
      </c>
      <c r="V35" s="131">
        <f t="shared" si="6"/>
        <v>251.005</v>
      </c>
      <c r="W35" s="131">
        <f t="shared" si="7"/>
        <v>255.86500000000001</v>
      </c>
      <c r="X35" s="131">
        <f t="shared" si="10"/>
        <v>0</v>
      </c>
      <c r="Y35" s="131">
        <f t="shared" si="9"/>
        <v>0</v>
      </c>
      <c r="Z35" s="183">
        <f t="shared" si="1"/>
        <v>0.22562322946175634</v>
      </c>
      <c r="AA35" s="134">
        <f t="shared" si="2"/>
        <v>0.26250708215297441</v>
      </c>
      <c r="AB35" s="190">
        <v>11</v>
      </c>
      <c r="AC35" s="190">
        <v>25</v>
      </c>
    </row>
    <row r="36" spans="2:29" s="187" customFormat="1" ht="28" hidden="1" x14ac:dyDescent="0.35">
      <c r="B36" s="114" t="str">
        <f t="shared" si="0"/>
        <v>Lighting and Lighting ControlsLow Rise Office</v>
      </c>
      <c r="C36" s="115" t="s">
        <v>198</v>
      </c>
      <c r="D36" s="116" t="s">
        <v>181</v>
      </c>
      <c r="E36" s="117">
        <v>0.01</v>
      </c>
      <c r="F36" s="117">
        <v>0.1</v>
      </c>
      <c r="G36" s="117">
        <v>0.01</v>
      </c>
      <c r="H36" s="117">
        <v>0.1</v>
      </c>
      <c r="I36" s="117">
        <f t="shared" si="3"/>
        <v>5.5E-2</v>
      </c>
      <c r="J36" s="188">
        <f>VLOOKUP(D36,'Existing Building EUI'!$B$7:$E$16,3,FALSE)</f>
        <v>149</v>
      </c>
      <c r="K36" s="188">
        <f>VLOOKUP(D36,'Existing Building EUI'!$B$7:$E$16,4,FALSE)</f>
        <v>204</v>
      </c>
      <c r="L36" s="189">
        <v>0</v>
      </c>
      <c r="M36" s="117">
        <v>0</v>
      </c>
      <c r="N36" s="183">
        <v>0.01</v>
      </c>
      <c r="O36" s="134">
        <v>0.18</v>
      </c>
      <c r="P36" s="117">
        <v>0</v>
      </c>
      <c r="Q36" s="117">
        <v>0</v>
      </c>
      <c r="R36" s="117">
        <v>0</v>
      </c>
      <c r="S36" s="117">
        <v>0</v>
      </c>
      <c r="T36" s="131">
        <f t="shared" si="4"/>
        <v>149</v>
      </c>
      <c r="U36" s="131">
        <f t="shared" si="5"/>
        <v>149</v>
      </c>
      <c r="V36" s="131">
        <f t="shared" si="6"/>
        <v>201.96</v>
      </c>
      <c r="W36" s="131">
        <f t="shared" ref="W36:W50" si="12">K36-((K36*O36)+(J36*S36))</f>
        <v>167.28</v>
      </c>
      <c r="X36" s="131">
        <f t="shared" si="10"/>
        <v>0</v>
      </c>
      <c r="Y36" s="131">
        <f t="shared" si="9"/>
        <v>0</v>
      </c>
      <c r="Z36" s="183">
        <f t="shared" ref="Z36:Z65" si="13">(SUM(T36,V36,X36)-SUM(J36:K36))/SUM(J36:K36)*-1</f>
        <v>5.7790368271953647E-3</v>
      </c>
      <c r="AA36" s="134">
        <f t="shared" ref="AA36:AA50" si="14">(SUM(U36,W36,Y36)-SUM(J36:K36))/SUM(J36:K36)*-1</f>
        <v>0.10402266288951849</v>
      </c>
      <c r="AB36" s="190">
        <v>1</v>
      </c>
      <c r="AC36" s="190">
        <v>10</v>
      </c>
    </row>
    <row r="37" spans="2:29" s="187" customFormat="1" ht="14.5" hidden="1" x14ac:dyDescent="0.35">
      <c r="B37" s="114" t="str">
        <f t="shared" si="0"/>
        <v>Renewables - Solar PVLow Rise Office</v>
      </c>
      <c r="C37" s="115" t="s">
        <v>199</v>
      </c>
      <c r="D37" s="116" t="s">
        <v>181</v>
      </c>
      <c r="E37" s="117">
        <v>0.01</v>
      </c>
      <c r="F37" s="117">
        <v>0.1</v>
      </c>
      <c r="G37" s="117">
        <v>0.01</v>
      </c>
      <c r="H37" s="117">
        <v>0.05</v>
      </c>
      <c r="I37" s="117">
        <f t="shared" si="3"/>
        <v>3.0000000000000002E-2</v>
      </c>
      <c r="J37" s="188">
        <f>VLOOKUP(D37,'Existing Building EUI'!$B$7:$E$16,3,FALSE)</f>
        <v>149</v>
      </c>
      <c r="K37" s="188">
        <f>VLOOKUP(D37,'Existing Building EUI'!$B$7:$E$16,4,FALSE)</f>
        <v>204</v>
      </c>
      <c r="L37" s="189">
        <v>0</v>
      </c>
      <c r="M37" s="117">
        <v>0</v>
      </c>
      <c r="N37" s="183">
        <v>0.02</v>
      </c>
      <c r="O37" s="134">
        <v>0.17</v>
      </c>
      <c r="P37" s="117">
        <v>0</v>
      </c>
      <c r="Q37" s="117">
        <v>0</v>
      </c>
      <c r="R37" s="117">
        <v>0</v>
      </c>
      <c r="S37" s="117">
        <v>0</v>
      </c>
      <c r="T37" s="131">
        <f t="shared" si="4"/>
        <v>149</v>
      </c>
      <c r="U37" s="131">
        <f t="shared" si="5"/>
        <v>149</v>
      </c>
      <c r="V37" s="131">
        <f t="shared" si="6"/>
        <v>199.92</v>
      </c>
      <c r="W37" s="131">
        <f t="shared" si="12"/>
        <v>169.32</v>
      </c>
      <c r="X37" s="131">
        <f t="shared" si="10"/>
        <v>0</v>
      </c>
      <c r="Y37" s="131">
        <f t="shared" si="9"/>
        <v>0</v>
      </c>
      <c r="Z37" s="183">
        <f t="shared" si="13"/>
        <v>1.155807365439105E-2</v>
      </c>
      <c r="AA37" s="134">
        <f t="shared" si="14"/>
        <v>9.8243626062322967E-2</v>
      </c>
      <c r="AB37" s="190">
        <v>26</v>
      </c>
      <c r="AC37" s="190">
        <v>50</v>
      </c>
    </row>
    <row r="38" spans="2:29" s="187" customFormat="1" ht="28" hidden="1" x14ac:dyDescent="0.35">
      <c r="B38" s="114" t="str">
        <f t="shared" si="0"/>
        <v>Renewables - Solar ThermalLow Rise Office</v>
      </c>
      <c r="C38" s="115" t="s">
        <v>200</v>
      </c>
      <c r="D38" s="116" t="s">
        <v>181</v>
      </c>
      <c r="E38" s="117">
        <v>0.01</v>
      </c>
      <c r="F38" s="117">
        <v>0.1</v>
      </c>
      <c r="G38" s="117">
        <v>0.01</v>
      </c>
      <c r="H38" s="117">
        <v>0.05</v>
      </c>
      <c r="I38" s="117">
        <f t="shared" si="3"/>
        <v>3.0000000000000002E-2</v>
      </c>
      <c r="J38" s="188">
        <f>VLOOKUP(D38,'Existing Building EUI'!$B$7:$E$16,3,FALSE)</f>
        <v>149</v>
      </c>
      <c r="K38" s="188">
        <f>VLOOKUP(D38,'Existing Building EUI'!$B$7:$E$16,4,FALSE)</f>
        <v>204</v>
      </c>
      <c r="L38" s="189">
        <v>0.02</v>
      </c>
      <c r="M38" s="117">
        <v>0.1</v>
      </c>
      <c r="N38" s="183">
        <v>0</v>
      </c>
      <c r="O38" s="134">
        <v>0</v>
      </c>
      <c r="P38" s="117">
        <v>0</v>
      </c>
      <c r="Q38" s="117">
        <v>0</v>
      </c>
      <c r="R38" s="117">
        <v>0</v>
      </c>
      <c r="S38" s="117">
        <v>0</v>
      </c>
      <c r="T38" s="131">
        <f t="shared" si="4"/>
        <v>146.02000000000001</v>
      </c>
      <c r="U38" s="131">
        <f t="shared" si="5"/>
        <v>134.1</v>
      </c>
      <c r="V38" s="131">
        <f t="shared" si="6"/>
        <v>204</v>
      </c>
      <c r="W38" s="131">
        <f t="shared" si="12"/>
        <v>204</v>
      </c>
      <c r="X38" s="131">
        <f t="shared" si="10"/>
        <v>0</v>
      </c>
      <c r="Y38" s="131">
        <f t="shared" si="9"/>
        <v>0</v>
      </c>
      <c r="Z38" s="183">
        <f t="shared" si="13"/>
        <v>8.4419263456091166E-3</v>
      </c>
      <c r="AA38" s="134">
        <f t="shared" si="14"/>
        <v>4.220963172804526E-2</v>
      </c>
      <c r="AB38" s="190">
        <v>26</v>
      </c>
      <c r="AC38" s="190">
        <v>50</v>
      </c>
    </row>
    <row r="39" spans="2:29" s="187" customFormat="1" ht="42" hidden="1" x14ac:dyDescent="0.35">
      <c r="B39" s="114" t="str">
        <f t="shared" si="0"/>
        <v>Building Envelope - High Performance Glazing with Enhanced Air SealingStrip Mall</v>
      </c>
      <c r="C39" s="115" t="s">
        <v>195</v>
      </c>
      <c r="D39" s="116" t="s">
        <v>159</v>
      </c>
      <c r="E39" s="117">
        <v>0.11</v>
      </c>
      <c r="F39" s="117">
        <v>0.2</v>
      </c>
      <c r="G39" s="117">
        <v>0.21</v>
      </c>
      <c r="H39" s="117">
        <v>0.3</v>
      </c>
      <c r="I39" s="117">
        <f t="shared" si="3"/>
        <v>0.255</v>
      </c>
      <c r="J39" s="188">
        <f>VLOOKUP(D39,'Existing Building EUI'!$B$7:$E$16,3,FALSE)</f>
        <v>127</v>
      </c>
      <c r="K39" s="188">
        <f>VLOOKUP(D39,'Existing Building EUI'!$B$7:$E$16,4,FALSE)</f>
        <v>248</v>
      </c>
      <c r="L39" s="189">
        <v>0.17</v>
      </c>
      <c r="M39" s="117">
        <v>0.2</v>
      </c>
      <c r="N39" s="183">
        <v>0.08</v>
      </c>
      <c r="O39" s="134">
        <v>0.15</v>
      </c>
      <c r="P39" s="117">
        <v>0</v>
      </c>
      <c r="Q39" s="117">
        <v>0</v>
      </c>
      <c r="R39" s="117">
        <v>0</v>
      </c>
      <c r="S39" s="117">
        <v>0</v>
      </c>
      <c r="T39" s="131">
        <f t="shared" si="4"/>
        <v>105.41</v>
      </c>
      <c r="U39" s="131">
        <f t="shared" si="5"/>
        <v>101.6</v>
      </c>
      <c r="V39" s="131">
        <f t="shared" si="6"/>
        <v>228.16</v>
      </c>
      <c r="W39" s="131">
        <f t="shared" si="12"/>
        <v>210.8</v>
      </c>
      <c r="X39" s="131">
        <f t="shared" si="10"/>
        <v>0</v>
      </c>
      <c r="Y39" s="131">
        <f t="shared" si="9"/>
        <v>0</v>
      </c>
      <c r="Z39" s="183">
        <f t="shared" si="13"/>
        <v>0.11048000000000002</v>
      </c>
      <c r="AA39" s="134">
        <f t="shared" si="14"/>
        <v>0.16693333333333341</v>
      </c>
      <c r="AB39" s="190">
        <v>1</v>
      </c>
      <c r="AC39" s="190">
        <v>10</v>
      </c>
    </row>
    <row r="40" spans="2:29" s="187" customFormat="1" ht="56" hidden="1" x14ac:dyDescent="0.35">
      <c r="B40" s="114" t="str">
        <f t="shared" si="0"/>
        <v>Building Envelope - High Performance Envelope (Recladding, Air Sealing, New Insulation) Strip Mall</v>
      </c>
      <c r="C40" s="115" t="s">
        <v>204</v>
      </c>
      <c r="D40" s="116" t="s">
        <v>159</v>
      </c>
      <c r="E40" s="117">
        <v>0.21</v>
      </c>
      <c r="F40" s="117">
        <v>0.3</v>
      </c>
      <c r="G40" s="117">
        <v>0.21</v>
      </c>
      <c r="H40" s="117">
        <v>0.3</v>
      </c>
      <c r="I40" s="117">
        <f t="shared" si="3"/>
        <v>0.255</v>
      </c>
      <c r="J40" s="188">
        <f>VLOOKUP(D40,'Existing Building EUI'!$B$7:$E$16,3,FALSE)</f>
        <v>127</v>
      </c>
      <c r="K40" s="188">
        <f>VLOOKUP(D40,'Existing Building EUI'!$B$7:$E$16,4,FALSE)</f>
        <v>248</v>
      </c>
      <c r="L40" s="189">
        <v>0.25</v>
      </c>
      <c r="M40" s="117">
        <v>0.35</v>
      </c>
      <c r="N40" s="183">
        <v>0.18</v>
      </c>
      <c r="O40" s="134">
        <v>0.2</v>
      </c>
      <c r="P40" s="117">
        <v>0</v>
      </c>
      <c r="Q40" s="117">
        <v>0</v>
      </c>
      <c r="R40" s="117">
        <v>0</v>
      </c>
      <c r="S40" s="117">
        <v>0</v>
      </c>
      <c r="T40" s="131">
        <f t="shared" si="4"/>
        <v>95.25</v>
      </c>
      <c r="U40" s="131">
        <f t="shared" si="5"/>
        <v>82.550000000000011</v>
      </c>
      <c r="V40" s="131">
        <f t="shared" si="6"/>
        <v>203.36</v>
      </c>
      <c r="W40" s="131">
        <f t="shared" si="12"/>
        <v>198.4</v>
      </c>
      <c r="X40" s="131">
        <f t="shared" si="10"/>
        <v>0</v>
      </c>
      <c r="Y40" s="131">
        <f t="shared" si="9"/>
        <v>0</v>
      </c>
      <c r="Z40" s="183">
        <f t="shared" si="13"/>
        <v>0.20370666666666662</v>
      </c>
      <c r="AA40" s="134">
        <f t="shared" si="14"/>
        <v>0.25079999999999986</v>
      </c>
      <c r="AB40" s="190">
        <v>11</v>
      </c>
      <c r="AC40" s="190">
        <v>25</v>
      </c>
    </row>
    <row r="41" spans="2:29" s="187" customFormat="1" ht="28" x14ac:dyDescent="0.35">
      <c r="B41" s="114" t="str">
        <f t="shared" si="0"/>
        <v>Domestic Hot Water - Electric Water HeaterStrip Mall</v>
      </c>
      <c r="C41" s="115" t="s">
        <v>202</v>
      </c>
      <c r="D41" s="116" t="s">
        <v>159</v>
      </c>
      <c r="E41" s="117">
        <v>0.01</v>
      </c>
      <c r="F41" s="117">
        <v>0.05</v>
      </c>
      <c r="G41" s="117">
        <v>0.01</v>
      </c>
      <c r="H41" s="117">
        <v>0.1</v>
      </c>
      <c r="I41" s="117">
        <f t="shared" si="3"/>
        <v>5.5E-2</v>
      </c>
      <c r="J41" s="188">
        <f>VLOOKUP(D41,'Existing Building EUI'!$B$7:$E$16,3,FALSE)</f>
        <v>127</v>
      </c>
      <c r="K41" s="188">
        <f>VLOOKUP(D41,'Existing Building EUI'!$B$7:$E$16,4,FALSE)</f>
        <v>248</v>
      </c>
      <c r="L41" s="189">
        <v>0.02</v>
      </c>
      <c r="M41" s="117">
        <v>0.2</v>
      </c>
      <c r="N41" s="183">
        <v>0</v>
      </c>
      <c r="O41" s="134">
        <v>0</v>
      </c>
      <c r="P41" s="117">
        <v>0</v>
      </c>
      <c r="Q41" s="117">
        <v>0</v>
      </c>
      <c r="R41" s="133">
        <f>L41/-4</f>
        <v>-5.0000000000000001E-3</v>
      </c>
      <c r="S41" s="133">
        <f>M41/-4</f>
        <v>-0.05</v>
      </c>
      <c r="T41" s="131">
        <f t="shared" si="4"/>
        <v>124.46</v>
      </c>
      <c r="U41" s="131">
        <f t="shared" si="5"/>
        <v>101.6</v>
      </c>
      <c r="V41" s="131">
        <f t="shared" si="6"/>
        <v>248.63499999999999</v>
      </c>
      <c r="W41" s="131">
        <f t="shared" si="12"/>
        <v>254.35</v>
      </c>
      <c r="X41" s="131">
        <f t="shared" si="10"/>
        <v>0</v>
      </c>
      <c r="Y41" s="131">
        <f t="shared" si="9"/>
        <v>0</v>
      </c>
      <c r="Z41" s="183">
        <f t="shared" si="13"/>
        <v>5.0800000000000792E-3</v>
      </c>
      <c r="AA41" s="134">
        <f t="shared" si="14"/>
        <v>5.0800000000000033E-2</v>
      </c>
      <c r="AB41" s="190">
        <v>0</v>
      </c>
      <c r="AC41" s="190">
        <v>0</v>
      </c>
    </row>
    <row r="42" spans="2:29" s="187" customFormat="1" ht="56" hidden="1" x14ac:dyDescent="0.35">
      <c r="B42" s="114" t="str">
        <f t="shared" si="0"/>
        <v>Heating, Cooling, Ventilation Systems - Rooftop Air Source Heat Pumps + Energy Recovery VentilatorsStrip Mall</v>
      </c>
      <c r="C42" s="164" t="s">
        <v>294</v>
      </c>
      <c r="D42" s="116" t="s">
        <v>159</v>
      </c>
      <c r="E42" s="117">
        <v>0.12</v>
      </c>
      <c r="F42" s="117">
        <v>0.25</v>
      </c>
      <c r="G42" s="117">
        <v>0.2</v>
      </c>
      <c r="H42" s="117">
        <v>0.55000000000000004</v>
      </c>
      <c r="I42" s="117">
        <f t="shared" si="3"/>
        <v>0.375</v>
      </c>
      <c r="J42" s="188">
        <f>VLOOKUP(D42,'Existing Building EUI'!$B$7:$E$16,3,FALSE)</f>
        <v>127</v>
      </c>
      <c r="K42" s="188">
        <f>VLOOKUP(D42,'Existing Building EUI'!$B$7:$E$16,4,FALSE)</f>
        <v>248</v>
      </c>
      <c r="L42" s="189">
        <v>0.8</v>
      </c>
      <c r="M42" s="117">
        <v>0.97</v>
      </c>
      <c r="N42" s="183">
        <v>0.08</v>
      </c>
      <c r="O42" s="134">
        <v>0.1</v>
      </c>
      <c r="P42" s="117">
        <v>0</v>
      </c>
      <c r="Q42" s="117">
        <v>0</v>
      </c>
      <c r="R42" s="133">
        <f>L42/-2</f>
        <v>-0.4</v>
      </c>
      <c r="S42" s="133">
        <f>M42/-2</f>
        <v>-0.48499999999999999</v>
      </c>
      <c r="T42" s="131">
        <f t="shared" si="4"/>
        <v>25.399999999999991</v>
      </c>
      <c r="U42" s="131">
        <f t="shared" si="5"/>
        <v>3.8100000000000023</v>
      </c>
      <c r="V42" s="131">
        <f t="shared" si="6"/>
        <v>278.95999999999998</v>
      </c>
      <c r="W42" s="131">
        <f t="shared" si="12"/>
        <v>284.79500000000002</v>
      </c>
      <c r="X42" s="131">
        <f t="shared" si="10"/>
        <v>0</v>
      </c>
      <c r="Y42" s="131">
        <f t="shared" si="9"/>
        <v>0</v>
      </c>
      <c r="Z42" s="183">
        <f t="shared" si="13"/>
        <v>0.18837333333333345</v>
      </c>
      <c r="AA42" s="134">
        <f t="shared" si="14"/>
        <v>0.23038666666666663</v>
      </c>
      <c r="AB42" s="190">
        <v>11</v>
      </c>
      <c r="AC42" s="190">
        <v>25</v>
      </c>
    </row>
    <row r="43" spans="2:29" s="187" customFormat="1" ht="14.5" hidden="1" x14ac:dyDescent="0.35">
      <c r="B43" s="114" t="str">
        <f t="shared" si="0"/>
        <v>Lighting and Lighting ControlsStrip Mall</v>
      </c>
      <c r="C43" s="115" t="s">
        <v>198</v>
      </c>
      <c r="D43" s="116" t="s">
        <v>159</v>
      </c>
      <c r="E43" s="117">
        <v>0.01</v>
      </c>
      <c r="F43" s="117">
        <v>0.1</v>
      </c>
      <c r="G43" s="117">
        <v>0.01</v>
      </c>
      <c r="H43" s="117">
        <v>0.1</v>
      </c>
      <c r="I43" s="117">
        <f t="shared" si="3"/>
        <v>5.5E-2</v>
      </c>
      <c r="J43" s="188">
        <f>VLOOKUP(D43,'Existing Building EUI'!$B$7:$E$16,3,FALSE)</f>
        <v>127</v>
      </c>
      <c r="K43" s="188">
        <f>VLOOKUP(D43,'Existing Building EUI'!$B$7:$E$16,4,FALSE)</f>
        <v>248</v>
      </c>
      <c r="L43" s="189">
        <v>0</v>
      </c>
      <c r="M43" s="117">
        <v>0</v>
      </c>
      <c r="N43" s="183">
        <v>0.01</v>
      </c>
      <c r="O43" s="134">
        <v>0.15</v>
      </c>
      <c r="P43" s="117">
        <v>0</v>
      </c>
      <c r="Q43" s="117">
        <v>0</v>
      </c>
      <c r="R43" s="117">
        <v>0</v>
      </c>
      <c r="S43" s="117">
        <v>0</v>
      </c>
      <c r="T43" s="131">
        <f t="shared" si="4"/>
        <v>127</v>
      </c>
      <c r="U43" s="131">
        <f t="shared" si="5"/>
        <v>127</v>
      </c>
      <c r="V43" s="131">
        <f t="shared" si="6"/>
        <v>245.52</v>
      </c>
      <c r="W43" s="131">
        <f t="shared" si="12"/>
        <v>210.8</v>
      </c>
      <c r="X43" s="131">
        <f t="shared" si="10"/>
        <v>0</v>
      </c>
      <c r="Y43" s="131">
        <f t="shared" si="9"/>
        <v>0</v>
      </c>
      <c r="Z43" s="183">
        <f t="shared" si="13"/>
        <v>6.6133333333333816E-3</v>
      </c>
      <c r="AA43" s="134">
        <f t="shared" si="14"/>
        <v>9.9199999999999969E-2</v>
      </c>
      <c r="AB43" s="190">
        <v>1</v>
      </c>
      <c r="AC43" s="190">
        <v>10</v>
      </c>
    </row>
    <row r="44" spans="2:29" s="187" customFormat="1" ht="14.5" hidden="1" x14ac:dyDescent="0.35">
      <c r="B44" s="114" t="str">
        <f t="shared" si="0"/>
        <v>Renewables - Solar PVStrip Mall</v>
      </c>
      <c r="C44" s="115" t="s">
        <v>199</v>
      </c>
      <c r="D44" s="116" t="s">
        <v>159</v>
      </c>
      <c r="E44" s="117">
        <v>0.01</v>
      </c>
      <c r="F44" s="117">
        <v>0.1</v>
      </c>
      <c r="G44" s="117">
        <v>0.01</v>
      </c>
      <c r="H44" s="117">
        <v>0.03</v>
      </c>
      <c r="I44" s="117">
        <f t="shared" si="3"/>
        <v>0.02</v>
      </c>
      <c r="J44" s="188">
        <f>VLOOKUP(D44,'Existing Building EUI'!$B$7:$E$16,3,FALSE)</f>
        <v>127</v>
      </c>
      <c r="K44" s="188">
        <f>VLOOKUP(D44,'Existing Building EUI'!$B$7:$E$16,4,FALSE)</f>
        <v>248</v>
      </c>
      <c r="L44" s="189">
        <v>0</v>
      </c>
      <c r="M44" s="117">
        <v>0</v>
      </c>
      <c r="N44" s="183">
        <v>0.02</v>
      </c>
      <c r="O44" s="134">
        <v>0.15</v>
      </c>
      <c r="P44" s="117">
        <v>0</v>
      </c>
      <c r="Q44" s="117">
        <v>0</v>
      </c>
      <c r="R44" s="117">
        <v>0</v>
      </c>
      <c r="S44" s="117">
        <v>0</v>
      </c>
      <c r="T44" s="131">
        <f t="shared" si="4"/>
        <v>127</v>
      </c>
      <c r="U44" s="131">
        <f t="shared" si="5"/>
        <v>127</v>
      </c>
      <c r="V44" s="131">
        <f t="shared" si="6"/>
        <v>243.04</v>
      </c>
      <c r="W44" s="131">
        <f t="shared" si="12"/>
        <v>210.8</v>
      </c>
      <c r="X44" s="131">
        <f t="shared" si="10"/>
        <v>0</v>
      </c>
      <c r="Y44" s="131">
        <f t="shared" si="9"/>
        <v>0</v>
      </c>
      <c r="Z44" s="183">
        <f t="shared" si="13"/>
        <v>1.3226666666666763E-2</v>
      </c>
      <c r="AA44" s="134">
        <f t="shared" si="14"/>
        <v>9.9199999999999969E-2</v>
      </c>
      <c r="AB44" s="190">
        <v>26</v>
      </c>
      <c r="AC44" s="190">
        <v>50</v>
      </c>
    </row>
    <row r="45" spans="2:29" s="187" customFormat="1" ht="42" hidden="1" x14ac:dyDescent="0.35">
      <c r="B45" s="114" t="str">
        <f t="shared" si="0"/>
        <v>Building Envelope - High Performance Glazing with Enhanced Air SealingMixed Use</v>
      </c>
      <c r="C45" s="115" t="s">
        <v>195</v>
      </c>
      <c r="D45" s="116" t="s">
        <v>160</v>
      </c>
      <c r="E45" s="117">
        <v>0.01</v>
      </c>
      <c r="F45" s="117">
        <v>0.1</v>
      </c>
      <c r="G45" s="117">
        <v>0.01</v>
      </c>
      <c r="H45" s="117">
        <v>0.1</v>
      </c>
      <c r="I45" s="117">
        <f t="shared" si="3"/>
        <v>5.5E-2</v>
      </c>
      <c r="J45" s="188">
        <f>VLOOKUP(D45,'Existing Building EUI'!$B$7:$E$16,3,FALSE)</f>
        <v>268</v>
      </c>
      <c r="K45" s="188">
        <f>VLOOKUP(D45,'Existing Building EUI'!$B$7:$E$16,4,FALSE)</f>
        <v>322</v>
      </c>
      <c r="L45" s="189">
        <v>0.01</v>
      </c>
      <c r="M45" s="117">
        <v>0.12</v>
      </c>
      <c r="N45" s="189">
        <v>0.01</v>
      </c>
      <c r="O45" s="134">
        <v>0.08</v>
      </c>
      <c r="P45" s="117">
        <v>0</v>
      </c>
      <c r="Q45" s="117">
        <v>0</v>
      </c>
      <c r="R45" s="117">
        <v>0</v>
      </c>
      <c r="S45" s="117">
        <v>0</v>
      </c>
      <c r="T45" s="131">
        <f t="shared" si="4"/>
        <v>265.32</v>
      </c>
      <c r="U45" s="131">
        <f t="shared" si="5"/>
        <v>235.84</v>
      </c>
      <c r="V45" s="131">
        <f t="shared" si="6"/>
        <v>318.77999999999997</v>
      </c>
      <c r="W45" s="131">
        <f t="shared" si="12"/>
        <v>296.24</v>
      </c>
      <c r="X45" s="131">
        <f t="shared" si="10"/>
        <v>0</v>
      </c>
      <c r="Y45" s="131">
        <f t="shared" si="9"/>
        <v>0</v>
      </c>
      <c r="Z45" s="183">
        <f t="shared" si="13"/>
        <v>1.0000000000000155E-2</v>
      </c>
      <c r="AA45" s="134">
        <f t="shared" si="14"/>
        <v>9.8169491525423661E-2</v>
      </c>
      <c r="AB45" s="190">
        <v>1</v>
      </c>
      <c r="AC45" s="190">
        <v>10</v>
      </c>
    </row>
    <row r="46" spans="2:29" s="187" customFormat="1" ht="56" hidden="1" x14ac:dyDescent="0.35">
      <c r="B46" s="114" t="str">
        <f t="shared" si="0"/>
        <v>Building Envelope - High Performance Envelope (Recladding, Air Sealing, New Insulation) Mixed Use</v>
      </c>
      <c r="C46" s="115" t="s">
        <v>204</v>
      </c>
      <c r="D46" s="116" t="s">
        <v>160</v>
      </c>
      <c r="E46" s="117">
        <v>0.11</v>
      </c>
      <c r="F46" s="117">
        <v>0.2</v>
      </c>
      <c r="G46" s="117">
        <v>0.11</v>
      </c>
      <c r="H46" s="117">
        <v>0.2</v>
      </c>
      <c r="I46" s="117">
        <f t="shared" si="3"/>
        <v>0.155</v>
      </c>
      <c r="J46" s="188">
        <f>VLOOKUP(D46,'Existing Building EUI'!$B$7:$E$16,3,FALSE)</f>
        <v>268</v>
      </c>
      <c r="K46" s="188">
        <f>VLOOKUP(D46,'Existing Building EUI'!$B$7:$E$16,4,FALSE)</f>
        <v>322</v>
      </c>
      <c r="L46" s="189">
        <v>0.14000000000000001</v>
      </c>
      <c r="M46" s="117">
        <v>0.2</v>
      </c>
      <c r="N46" s="183">
        <v>0.08</v>
      </c>
      <c r="O46" s="134">
        <v>0.15</v>
      </c>
      <c r="P46" s="117">
        <v>0</v>
      </c>
      <c r="Q46" s="117">
        <v>0</v>
      </c>
      <c r="R46" s="117">
        <v>0</v>
      </c>
      <c r="S46" s="117">
        <v>0</v>
      </c>
      <c r="T46" s="131">
        <f t="shared" si="4"/>
        <v>230.48</v>
      </c>
      <c r="U46" s="131">
        <f t="shared" si="5"/>
        <v>214.4</v>
      </c>
      <c r="V46" s="131">
        <f t="shared" si="6"/>
        <v>296.24</v>
      </c>
      <c r="W46" s="131">
        <f t="shared" si="12"/>
        <v>273.7</v>
      </c>
      <c r="X46" s="131">
        <f t="shared" si="10"/>
        <v>0</v>
      </c>
      <c r="Y46" s="131">
        <f t="shared" si="9"/>
        <v>0</v>
      </c>
      <c r="Z46" s="183">
        <f t="shared" si="13"/>
        <v>0.10725423728813555</v>
      </c>
      <c r="AA46" s="134">
        <f t="shared" si="14"/>
        <v>0.17271186440677963</v>
      </c>
      <c r="AB46" s="190">
        <v>11</v>
      </c>
      <c r="AC46" s="190">
        <v>25</v>
      </c>
    </row>
    <row r="47" spans="2:29" s="187" customFormat="1" ht="42" x14ac:dyDescent="0.35">
      <c r="B47" s="114" t="str">
        <f t="shared" si="0"/>
        <v>Domestic Hot Water - Heat Pump and Electric Resistance Water HeatersMixed Use</v>
      </c>
      <c r="C47" s="115" t="s">
        <v>197</v>
      </c>
      <c r="D47" s="116" t="s">
        <v>160</v>
      </c>
      <c r="E47" s="117">
        <v>0.11</v>
      </c>
      <c r="F47" s="117">
        <v>0.2</v>
      </c>
      <c r="G47" s="117">
        <v>0.21</v>
      </c>
      <c r="H47" s="117">
        <v>0.3</v>
      </c>
      <c r="I47" s="117">
        <f t="shared" si="3"/>
        <v>0.255</v>
      </c>
      <c r="J47" s="188">
        <f>VLOOKUP(D47,'Existing Building EUI'!$B$7:$E$16,3,FALSE)</f>
        <v>268</v>
      </c>
      <c r="K47" s="188">
        <f>VLOOKUP(D47,'Existing Building EUI'!$B$7:$E$16,4,FALSE)</f>
        <v>322</v>
      </c>
      <c r="L47" s="189">
        <v>0.2</v>
      </c>
      <c r="M47" s="117">
        <v>0.4</v>
      </c>
      <c r="N47" s="183">
        <v>0</v>
      </c>
      <c r="O47" s="134">
        <v>0</v>
      </c>
      <c r="P47" s="117">
        <v>0</v>
      </c>
      <c r="Q47" s="117">
        <v>0</v>
      </c>
      <c r="R47" s="133">
        <f>L47/-4</f>
        <v>-0.05</v>
      </c>
      <c r="S47" s="133">
        <f>M47/-4</f>
        <v>-0.1</v>
      </c>
      <c r="T47" s="131">
        <f t="shared" si="4"/>
        <v>214.4</v>
      </c>
      <c r="U47" s="131">
        <f t="shared" si="5"/>
        <v>160.80000000000001</v>
      </c>
      <c r="V47" s="131">
        <f t="shared" si="6"/>
        <v>335.4</v>
      </c>
      <c r="W47" s="131">
        <f t="shared" si="12"/>
        <v>348.8</v>
      </c>
      <c r="X47" s="131">
        <f t="shared" si="10"/>
        <v>0</v>
      </c>
      <c r="Y47" s="131">
        <f t="shared" si="9"/>
        <v>0</v>
      </c>
      <c r="Z47" s="183">
        <f t="shared" si="13"/>
        <v>6.8135593220339061E-2</v>
      </c>
      <c r="AA47" s="134">
        <f t="shared" si="14"/>
        <v>0.13627118644067793</v>
      </c>
      <c r="AB47" s="190">
        <v>1</v>
      </c>
      <c r="AC47" s="190">
        <v>10</v>
      </c>
    </row>
    <row r="48" spans="2:29" s="187" customFormat="1" ht="56" hidden="1" x14ac:dyDescent="0.35">
      <c r="B48" s="114" t="str">
        <f t="shared" si="0"/>
        <v>Heating, Cooling, Ventilation Systems - Low Carbon District Energy System + Energy Recovery VentilatorsMixed Use</v>
      </c>
      <c r="C48" s="244" t="s">
        <v>344</v>
      </c>
      <c r="D48" s="116" t="s">
        <v>160</v>
      </c>
      <c r="E48" s="117">
        <v>0.22</v>
      </c>
      <c r="F48" s="117">
        <v>0.4</v>
      </c>
      <c r="G48" s="117">
        <v>0.2</v>
      </c>
      <c r="H48" s="117">
        <v>0.4</v>
      </c>
      <c r="I48" s="117">
        <f t="shared" si="3"/>
        <v>0.30000000000000004</v>
      </c>
      <c r="J48" s="188">
        <f>VLOOKUP(D48,'Existing Building EUI'!$B$7:$E$16,3,FALSE)</f>
        <v>268</v>
      </c>
      <c r="K48" s="188">
        <f>VLOOKUP(D48,'Existing Building EUI'!$B$7:$E$16,4,FALSE)</f>
        <v>322</v>
      </c>
      <c r="L48" s="189">
        <v>0.7</v>
      </c>
      <c r="M48" s="117">
        <v>0.8</v>
      </c>
      <c r="N48" s="183">
        <v>0.08</v>
      </c>
      <c r="O48" s="134">
        <v>0.1</v>
      </c>
      <c r="P48" s="117">
        <f>L48*-0.7</f>
        <v>-0.48999999999999994</v>
      </c>
      <c r="Q48" s="117">
        <f>M48*-0.7</f>
        <v>-0.55999999999999994</v>
      </c>
      <c r="R48" s="117">
        <v>0</v>
      </c>
      <c r="S48" s="117">
        <v>0</v>
      </c>
      <c r="T48" s="131">
        <f t="shared" si="4"/>
        <v>80.400000000000006</v>
      </c>
      <c r="U48" s="131">
        <f t="shared" si="5"/>
        <v>53.599999999999994</v>
      </c>
      <c r="V48" s="131">
        <f t="shared" si="6"/>
        <v>296.24</v>
      </c>
      <c r="W48" s="131">
        <f t="shared" si="12"/>
        <v>289.8</v>
      </c>
      <c r="X48" s="131">
        <f t="shared" si="10"/>
        <v>131.32</v>
      </c>
      <c r="Y48" s="131">
        <f>(Q48*J48)*-1</f>
        <v>150.07999999999998</v>
      </c>
      <c r="Z48" s="183">
        <f t="shared" si="13"/>
        <v>0.13905084745762716</v>
      </c>
      <c r="AA48" s="134">
        <f t="shared" si="14"/>
        <v>0.1635932203389831</v>
      </c>
      <c r="AB48" s="190">
        <v>1</v>
      </c>
      <c r="AC48" s="190">
        <v>10</v>
      </c>
    </row>
    <row r="49" spans="2:30" s="187" customFormat="1" ht="56" hidden="1" x14ac:dyDescent="0.35">
      <c r="B49" s="114" t="str">
        <f t="shared" si="0"/>
        <v>Heating, Cooling, Ventilation Systems - Air Source Heat Pumps + Energy Recovery VentilatorsMixed Use</v>
      </c>
      <c r="C49" s="164" t="s">
        <v>207</v>
      </c>
      <c r="D49" s="116" t="s">
        <v>160</v>
      </c>
      <c r="E49" s="117">
        <v>0.22</v>
      </c>
      <c r="F49" s="117">
        <v>0.4</v>
      </c>
      <c r="G49" s="117">
        <v>0.2</v>
      </c>
      <c r="H49" s="117">
        <v>0.4</v>
      </c>
      <c r="I49" s="117">
        <f t="shared" si="3"/>
        <v>0.30000000000000004</v>
      </c>
      <c r="J49" s="188">
        <f>VLOOKUP(D49,'Existing Building EUI'!$B$7:$E$16,3,FALSE)</f>
        <v>268</v>
      </c>
      <c r="K49" s="188">
        <f>VLOOKUP(D49,'Existing Building EUI'!$B$7:$E$16,4,FALSE)</f>
        <v>322</v>
      </c>
      <c r="L49" s="189">
        <v>0.7</v>
      </c>
      <c r="M49" s="117">
        <v>0.8</v>
      </c>
      <c r="N49" s="183">
        <v>0.08</v>
      </c>
      <c r="O49" s="134">
        <v>0.1</v>
      </c>
      <c r="P49" s="117">
        <v>0</v>
      </c>
      <c r="Q49" s="117">
        <v>0</v>
      </c>
      <c r="R49" s="133">
        <f>L49/-2</f>
        <v>-0.35</v>
      </c>
      <c r="S49" s="133">
        <f>M49/-2</f>
        <v>-0.4</v>
      </c>
      <c r="T49" s="131">
        <f t="shared" si="4"/>
        <v>80.400000000000006</v>
      </c>
      <c r="U49" s="131">
        <f t="shared" si="5"/>
        <v>53.599999999999994</v>
      </c>
      <c r="V49" s="131">
        <f t="shared" si="6"/>
        <v>390.03999999999996</v>
      </c>
      <c r="W49" s="131">
        <f t="shared" si="12"/>
        <v>397</v>
      </c>
      <c r="X49" s="131">
        <f t="shared" si="10"/>
        <v>0</v>
      </c>
      <c r="Y49" s="131">
        <f t="shared" si="9"/>
        <v>0</v>
      </c>
      <c r="Z49" s="183">
        <f t="shared" si="13"/>
        <v>0.20264406779661026</v>
      </c>
      <c r="AA49" s="134">
        <f t="shared" si="14"/>
        <v>0.23627118644067793</v>
      </c>
      <c r="AB49" s="190">
        <v>1</v>
      </c>
      <c r="AC49" s="190">
        <v>10</v>
      </c>
    </row>
    <row r="50" spans="2:30" s="187" customFormat="1" ht="56" hidden="1" x14ac:dyDescent="0.35">
      <c r="B50" s="114" t="str">
        <f t="shared" si="0"/>
        <v>Heating, Cooling, Ventilation Systems - Ground Source Heat Pumps + Energy Recovery VentilatorsMixed Use</v>
      </c>
      <c r="C50" s="164" t="s">
        <v>208</v>
      </c>
      <c r="D50" s="116" t="s">
        <v>160</v>
      </c>
      <c r="E50" s="117">
        <v>0.22</v>
      </c>
      <c r="F50" s="117">
        <v>0.4</v>
      </c>
      <c r="G50" s="117">
        <v>0.2</v>
      </c>
      <c r="H50" s="117">
        <v>0.4</v>
      </c>
      <c r="I50" s="117">
        <f t="shared" si="3"/>
        <v>0.30000000000000004</v>
      </c>
      <c r="J50" s="188">
        <f>VLOOKUP(D50,'Existing Building EUI'!$B$7:$E$16,3,FALSE)</f>
        <v>268</v>
      </c>
      <c r="K50" s="188">
        <f>VLOOKUP(D50,'Existing Building EUI'!$B$7:$E$16,4,FALSE)</f>
        <v>322</v>
      </c>
      <c r="L50" s="189">
        <v>0.7</v>
      </c>
      <c r="M50" s="117">
        <v>0.8</v>
      </c>
      <c r="N50" s="183">
        <v>0.08</v>
      </c>
      <c r="O50" s="134">
        <v>0.1</v>
      </c>
      <c r="P50" s="117">
        <v>0</v>
      </c>
      <c r="Q50" s="117">
        <v>0</v>
      </c>
      <c r="R50" s="133">
        <f>L50/-3</f>
        <v>-0.23333333333333331</v>
      </c>
      <c r="S50" s="133">
        <f>M50/-3</f>
        <v>-0.26666666666666666</v>
      </c>
      <c r="T50" s="131">
        <f t="shared" si="4"/>
        <v>80.400000000000006</v>
      </c>
      <c r="U50" s="131">
        <f t="shared" si="5"/>
        <v>53.599999999999994</v>
      </c>
      <c r="V50" s="131">
        <f t="shared" si="6"/>
        <v>358.77333333333331</v>
      </c>
      <c r="W50" s="131">
        <f t="shared" si="12"/>
        <v>361.26666666666665</v>
      </c>
      <c r="X50" s="131">
        <f t="shared" si="10"/>
        <v>0</v>
      </c>
      <c r="Y50" s="131">
        <f t="shared" si="9"/>
        <v>0</v>
      </c>
      <c r="Z50" s="183">
        <f t="shared" si="13"/>
        <v>0.2556384180790961</v>
      </c>
      <c r="AA50" s="134">
        <f t="shared" si="14"/>
        <v>0.29683615819209036</v>
      </c>
      <c r="AB50" s="190">
        <v>1</v>
      </c>
      <c r="AC50" s="190">
        <v>10</v>
      </c>
    </row>
    <row r="51" spans="2:30" s="187" customFormat="1" ht="42" hidden="1" x14ac:dyDescent="0.35">
      <c r="B51" s="114" t="str">
        <f t="shared" ref="B51:B92" si="15">C51&amp;D51</f>
        <v>Gas Appliances - Electric and Induction Ranges &amp; Heat Pump Electric DryersMixed Use</v>
      </c>
      <c r="C51" s="115" t="s">
        <v>205</v>
      </c>
      <c r="D51" s="116" t="s">
        <v>160</v>
      </c>
      <c r="E51" s="117">
        <v>0.01</v>
      </c>
      <c r="F51" s="117">
        <v>0.1</v>
      </c>
      <c r="G51" s="117">
        <v>0.05</v>
      </c>
      <c r="H51" s="117">
        <v>0.25</v>
      </c>
      <c r="I51" s="117">
        <f t="shared" ref="I51:I92" si="16">AVERAGE(G51:H51)</f>
        <v>0.15</v>
      </c>
      <c r="J51" s="188">
        <f>VLOOKUP(D51,'Existing Building EUI'!$B$7:$E$16,3,FALSE)</f>
        <v>268</v>
      </c>
      <c r="K51" s="188">
        <f>VLOOKUP(D51,'Existing Building EUI'!$B$7:$E$16,4,FALSE)</f>
        <v>322</v>
      </c>
      <c r="L51" s="189">
        <v>0.01</v>
      </c>
      <c r="M51" s="117">
        <v>0.15</v>
      </c>
      <c r="N51" s="184">
        <v>0</v>
      </c>
      <c r="O51" s="134">
        <v>0</v>
      </c>
      <c r="P51" s="117">
        <v>0</v>
      </c>
      <c r="Q51" s="117">
        <v>0</v>
      </c>
      <c r="R51" s="133">
        <f>L51/-2</f>
        <v>-5.0000000000000001E-3</v>
      </c>
      <c r="S51" s="133">
        <f>M51/-2</f>
        <v>-7.4999999999999997E-2</v>
      </c>
      <c r="T51" s="131">
        <f t="shared" si="4"/>
        <v>265.32</v>
      </c>
      <c r="U51" s="131">
        <f t="shared" ref="U51:U92" si="17">J51-(J51*M51)</f>
        <v>227.8</v>
      </c>
      <c r="V51" s="131">
        <f t="shared" si="6"/>
        <v>323.33999999999997</v>
      </c>
      <c r="W51" s="131">
        <f t="shared" ref="W51:W92" si="18">K51-((K51*O51)+(J51*S51))</f>
        <v>342.1</v>
      </c>
      <c r="X51" s="131">
        <f t="shared" si="10"/>
        <v>0</v>
      </c>
      <c r="Y51" s="131">
        <f t="shared" ref="Y51:Y92" si="19">Q51*J51</f>
        <v>0</v>
      </c>
      <c r="Z51" s="183">
        <f t="shared" si="13"/>
        <v>2.2711864406780202E-3</v>
      </c>
      <c r="AA51" s="134">
        <f t="shared" ref="AA51:AA92" si="20">(SUM(U51,W51,Y51)-SUM(J51:K51))/SUM(J51:K51)*-1</f>
        <v>3.4067796610169336E-2</v>
      </c>
      <c r="AB51" s="190">
        <v>1</v>
      </c>
      <c r="AC51" s="190">
        <v>5</v>
      </c>
    </row>
    <row r="52" spans="2:30" s="187" customFormat="1" ht="14.5" hidden="1" x14ac:dyDescent="0.35">
      <c r="B52" s="114" t="str">
        <f t="shared" si="15"/>
        <v>Lighting and Lighting ControlsMixed Use</v>
      </c>
      <c r="C52" s="115" t="s">
        <v>198</v>
      </c>
      <c r="D52" s="116" t="s">
        <v>160</v>
      </c>
      <c r="E52" s="117">
        <v>0.01</v>
      </c>
      <c r="F52" s="117">
        <v>0.1</v>
      </c>
      <c r="G52" s="117">
        <v>0.01</v>
      </c>
      <c r="H52" s="117">
        <v>0.1</v>
      </c>
      <c r="I52" s="117">
        <f t="shared" si="16"/>
        <v>5.5E-2</v>
      </c>
      <c r="J52" s="188">
        <f>VLOOKUP(D52,'Existing Building EUI'!$B$7:$E$16,3,FALSE)</f>
        <v>268</v>
      </c>
      <c r="K52" s="188">
        <f>VLOOKUP(D52,'Existing Building EUI'!$B$7:$E$16,4,FALSE)</f>
        <v>322</v>
      </c>
      <c r="L52" s="189">
        <v>0</v>
      </c>
      <c r="M52" s="117">
        <v>0</v>
      </c>
      <c r="N52" s="183">
        <v>0.01</v>
      </c>
      <c r="O52" s="134">
        <v>0.18</v>
      </c>
      <c r="P52" s="117">
        <v>0</v>
      </c>
      <c r="Q52" s="117">
        <v>0</v>
      </c>
      <c r="R52" s="117">
        <v>0</v>
      </c>
      <c r="S52" s="117">
        <v>0</v>
      </c>
      <c r="T52" s="131">
        <f t="shared" si="4"/>
        <v>268</v>
      </c>
      <c r="U52" s="131">
        <f t="shared" si="17"/>
        <v>268</v>
      </c>
      <c r="V52" s="131">
        <f t="shared" si="6"/>
        <v>318.77999999999997</v>
      </c>
      <c r="W52" s="131">
        <f t="shared" si="18"/>
        <v>264.04000000000002</v>
      </c>
      <c r="X52" s="131">
        <f t="shared" si="10"/>
        <v>0</v>
      </c>
      <c r="Y52" s="131">
        <f t="shared" si="19"/>
        <v>0</v>
      </c>
      <c r="Z52" s="183">
        <f t="shared" si="13"/>
        <v>5.4576271186441141E-3</v>
      </c>
      <c r="AA52" s="134">
        <f t="shared" si="20"/>
        <v>9.8237288135593279E-2</v>
      </c>
      <c r="AB52" s="190">
        <v>0</v>
      </c>
      <c r="AC52" s="190">
        <v>0</v>
      </c>
    </row>
    <row r="53" spans="2:30" s="187" customFormat="1" ht="14.5" hidden="1" x14ac:dyDescent="0.35">
      <c r="B53" s="114" t="str">
        <f t="shared" si="15"/>
        <v>Renewables - Solar PVMixed Use</v>
      </c>
      <c r="C53" s="115" t="s">
        <v>199</v>
      </c>
      <c r="D53" s="116" t="s">
        <v>160</v>
      </c>
      <c r="E53" s="117">
        <v>0.01</v>
      </c>
      <c r="F53" s="117">
        <v>0.1</v>
      </c>
      <c r="G53" s="117">
        <v>0.01</v>
      </c>
      <c r="H53" s="117">
        <v>0.05</v>
      </c>
      <c r="I53" s="117">
        <f t="shared" si="16"/>
        <v>3.0000000000000002E-2</v>
      </c>
      <c r="J53" s="188">
        <f>VLOOKUP(D53,'Existing Building EUI'!$B$7:$E$16,3,FALSE)</f>
        <v>268</v>
      </c>
      <c r="K53" s="188">
        <f>VLOOKUP(D53,'Existing Building EUI'!$B$7:$E$16,4,FALSE)</f>
        <v>322</v>
      </c>
      <c r="L53" s="189">
        <v>0</v>
      </c>
      <c r="M53" s="117">
        <v>0</v>
      </c>
      <c r="N53" s="183">
        <v>0.02</v>
      </c>
      <c r="O53" s="134">
        <v>0.18</v>
      </c>
      <c r="P53" s="117">
        <v>0</v>
      </c>
      <c r="Q53" s="117">
        <v>0</v>
      </c>
      <c r="R53" s="117">
        <v>0</v>
      </c>
      <c r="S53" s="117">
        <v>0</v>
      </c>
      <c r="T53" s="131">
        <f t="shared" si="4"/>
        <v>268</v>
      </c>
      <c r="U53" s="131">
        <f t="shared" si="17"/>
        <v>268</v>
      </c>
      <c r="V53" s="131">
        <f t="shared" si="6"/>
        <v>315.56</v>
      </c>
      <c r="W53" s="131">
        <f t="shared" si="18"/>
        <v>264.04000000000002</v>
      </c>
      <c r="X53" s="131">
        <f t="shared" si="10"/>
        <v>0</v>
      </c>
      <c r="Y53" s="131">
        <f t="shared" si="19"/>
        <v>0</v>
      </c>
      <c r="Z53" s="183">
        <f t="shared" si="13"/>
        <v>1.0915254237288228E-2</v>
      </c>
      <c r="AA53" s="134">
        <f t="shared" si="20"/>
        <v>9.8237288135593279E-2</v>
      </c>
      <c r="AB53" s="190">
        <v>26</v>
      </c>
      <c r="AC53" s="190">
        <v>50</v>
      </c>
    </row>
    <row r="54" spans="2:30" s="187" customFormat="1" ht="14.5" hidden="1" x14ac:dyDescent="0.35">
      <c r="B54" s="114" t="str">
        <f t="shared" si="15"/>
        <v>Renewables - Solar ThermalMixed Use</v>
      </c>
      <c r="C54" s="115" t="s">
        <v>200</v>
      </c>
      <c r="D54" s="116" t="s">
        <v>160</v>
      </c>
      <c r="E54" s="117">
        <v>0.01</v>
      </c>
      <c r="F54" s="117">
        <v>0.1</v>
      </c>
      <c r="G54" s="117">
        <v>0.01</v>
      </c>
      <c r="H54" s="117">
        <v>0.05</v>
      </c>
      <c r="I54" s="117">
        <f t="shared" si="16"/>
        <v>3.0000000000000002E-2</v>
      </c>
      <c r="J54" s="188">
        <f>VLOOKUP(D54,'Existing Building EUI'!$B$7:$E$16,3,FALSE)</f>
        <v>268</v>
      </c>
      <c r="K54" s="188">
        <f>VLOOKUP(D54,'Existing Building EUI'!$B$7:$E$16,4,FALSE)</f>
        <v>322</v>
      </c>
      <c r="L54" s="189">
        <v>0.02</v>
      </c>
      <c r="M54" s="117">
        <v>0.1</v>
      </c>
      <c r="N54" s="183">
        <v>0</v>
      </c>
      <c r="O54" s="134">
        <v>0</v>
      </c>
      <c r="P54" s="117">
        <v>0</v>
      </c>
      <c r="Q54" s="117">
        <v>0</v>
      </c>
      <c r="R54" s="117">
        <v>0</v>
      </c>
      <c r="S54" s="117">
        <v>0</v>
      </c>
      <c r="T54" s="131">
        <f t="shared" si="4"/>
        <v>262.64</v>
      </c>
      <c r="U54" s="131">
        <f t="shared" si="17"/>
        <v>241.2</v>
      </c>
      <c r="V54" s="131">
        <f t="shared" si="6"/>
        <v>322</v>
      </c>
      <c r="W54" s="131">
        <f t="shared" si="18"/>
        <v>322</v>
      </c>
      <c r="X54" s="131">
        <f t="shared" si="10"/>
        <v>0</v>
      </c>
      <c r="Y54" s="131">
        <f t="shared" si="19"/>
        <v>0</v>
      </c>
      <c r="Z54" s="183">
        <f t="shared" si="13"/>
        <v>9.0847457627118867E-3</v>
      </c>
      <c r="AA54" s="134">
        <f t="shared" si="20"/>
        <v>4.5423728813559244E-2</v>
      </c>
      <c r="AB54" s="190">
        <v>26</v>
      </c>
      <c r="AC54" s="190">
        <v>50</v>
      </c>
    </row>
    <row r="55" spans="2:30" s="187" customFormat="1" ht="42" hidden="1" x14ac:dyDescent="0.35">
      <c r="B55" s="114" t="str">
        <f t="shared" si="15"/>
        <v>Building Envelope - High Performance Glazing with Enhanced Air SealingCondominium</v>
      </c>
      <c r="C55" s="115" t="s">
        <v>195</v>
      </c>
      <c r="D55" s="116" t="s">
        <v>161</v>
      </c>
      <c r="E55" s="117">
        <v>0.01</v>
      </c>
      <c r="F55" s="117">
        <v>0.1</v>
      </c>
      <c r="G55" s="117">
        <v>0.01</v>
      </c>
      <c r="H55" s="117">
        <v>0.1</v>
      </c>
      <c r="I55" s="117">
        <f t="shared" si="16"/>
        <v>5.5E-2</v>
      </c>
      <c r="J55" s="188">
        <f>VLOOKUP(D55,'Existing Building EUI'!$B$7:$E$16,3,FALSE)</f>
        <v>215</v>
      </c>
      <c r="K55" s="188">
        <f>VLOOKUP(D55,'Existing Building EUI'!$B$7:$E$16,4,FALSE)</f>
        <v>93</v>
      </c>
      <c r="L55" s="189">
        <v>0.01</v>
      </c>
      <c r="M55" s="117">
        <v>0.11</v>
      </c>
      <c r="N55" s="189">
        <v>0.01</v>
      </c>
      <c r="O55" s="134">
        <v>0.08</v>
      </c>
      <c r="P55" s="117">
        <v>0</v>
      </c>
      <c r="Q55" s="117">
        <v>0</v>
      </c>
      <c r="R55" s="117">
        <v>0</v>
      </c>
      <c r="S55" s="117">
        <v>0</v>
      </c>
      <c r="T55" s="131">
        <f t="shared" si="4"/>
        <v>212.85</v>
      </c>
      <c r="U55" s="131">
        <f t="shared" si="17"/>
        <v>191.35</v>
      </c>
      <c r="V55" s="131">
        <f t="shared" si="6"/>
        <v>92.07</v>
      </c>
      <c r="W55" s="131">
        <f t="shared" si="18"/>
        <v>85.56</v>
      </c>
      <c r="X55" s="131">
        <f t="shared" si="10"/>
        <v>0</v>
      </c>
      <c r="Y55" s="131">
        <f t="shared" si="19"/>
        <v>0</v>
      </c>
      <c r="Z55" s="183">
        <f t="shared" si="13"/>
        <v>1.0000000000000132E-2</v>
      </c>
      <c r="AA55" s="134">
        <f t="shared" si="20"/>
        <v>0.10094155844155854</v>
      </c>
      <c r="AB55" s="190">
        <v>1</v>
      </c>
      <c r="AC55" s="190">
        <v>10</v>
      </c>
    </row>
    <row r="56" spans="2:30" s="187" customFormat="1" ht="56" hidden="1" x14ac:dyDescent="0.35">
      <c r="B56" s="114" t="str">
        <f t="shared" si="15"/>
        <v>Building Envelope - High Performance Envelope (Recladding, Air Sealing, New Insulation) Condominium</v>
      </c>
      <c r="C56" s="115" t="s">
        <v>204</v>
      </c>
      <c r="D56" s="116" t="s">
        <v>161</v>
      </c>
      <c r="E56" s="117">
        <v>0.11</v>
      </c>
      <c r="F56" s="117">
        <v>0.2</v>
      </c>
      <c r="G56" s="117">
        <v>0.11</v>
      </c>
      <c r="H56" s="117">
        <v>0.2</v>
      </c>
      <c r="I56" s="117">
        <f t="shared" si="16"/>
        <v>0.155</v>
      </c>
      <c r="J56" s="188">
        <f>VLOOKUP(D56,'Existing Building EUI'!$B$7:$E$16,3,FALSE)</f>
        <v>215</v>
      </c>
      <c r="K56" s="188">
        <f>VLOOKUP(D56,'Existing Building EUI'!$B$7:$E$16,4,FALSE)</f>
        <v>93</v>
      </c>
      <c r="L56" s="189">
        <v>0.12</v>
      </c>
      <c r="M56" s="117">
        <v>0.2</v>
      </c>
      <c r="N56" s="183">
        <v>0.08</v>
      </c>
      <c r="O56" s="134">
        <v>0.15</v>
      </c>
      <c r="P56" s="117">
        <v>0</v>
      </c>
      <c r="Q56" s="117">
        <v>0</v>
      </c>
      <c r="R56" s="117">
        <v>0</v>
      </c>
      <c r="S56" s="117">
        <v>0</v>
      </c>
      <c r="T56" s="131">
        <f t="shared" si="4"/>
        <v>189.2</v>
      </c>
      <c r="U56" s="131">
        <f t="shared" si="17"/>
        <v>172</v>
      </c>
      <c r="V56" s="131">
        <f t="shared" si="6"/>
        <v>85.56</v>
      </c>
      <c r="W56" s="131">
        <f t="shared" si="18"/>
        <v>79.05</v>
      </c>
      <c r="X56" s="131">
        <f t="shared" si="10"/>
        <v>0</v>
      </c>
      <c r="Y56" s="131">
        <f t="shared" si="19"/>
        <v>0</v>
      </c>
      <c r="Z56" s="183">
        <f t="shared" si="13"/>
        <v>0.10792207792207795</v>
      </c>
      <c r="AA56" s="134">
        <f t="shared" si="20"/>
        <v>0.18490259740259737</v>
      </c>
      <c r="AB56" s="190">
        <v>11</v>
      </c>
      <c r="AC56" s="190">
        <v>25</v>
      </c>
    </row>
    <row r="57" spans="2:30" s="187" customFormat="1" ht="42" x14ac:dyDescent="0.35">
      <c r="B57" s="114" t="str">
        <f t="shared" si="15"/>
        <v>Domestic Hot Water - Heat Pump and Electric Resistance Water HeatersCondominium</v>
      </c>
      <c r="C57" s="176" t="s">
        <v>197</v>
      </c>
      <c r="D57" s="116" t="s">
        <v>161</v>
      </c>
      <c r="E57" s="117">
        <v>0.01</v>
      </c>
      <c r="F57" s="117">
        <v>0.1</v>
      </c>
      <c r="G57" s="119">
        <v>0.01</v>
      </c>
      <c r="H57" s="119">
        <v>0.1</v>
      </c>
      <c r="I57" s="117">
        <f t="shared" si="16"/>
        <v>5.5E-2</v>
      </c>
      <c r="J57" s="188">
        <f>VLOOKUP(D57,'Existing Building EUI'!$B$7:$E$16,3,FALSE)</f>
        <v>215</v>
      </c>
      <c r="K57" s="188">
        <f>VLOOKUP(D57,'Existing Building EUI'!$B$7:$E$16,4,FALSE)</f>
        <v>93</v>
      </c>
      <c r="L57" s="189">
        <v>0.02</v>
      </c>
      <c r="M57" s="117">
        <v>0.2</v>
      </c>
      <c r="N57" s="183">
        <v>0</v>
      </c>
      <c r="O57" s="134">
        <v>0</v>
      </c>
      <c r="P57" s="117">
        <v>0</v>
      </c>
      <c r="Q57" s="117">
        <v>0</v>
      </c>
      <c r="R57" s="133">
        <f>L57/-4</f>
        <v>-5.0000000000000001E-3</v>
      </c>
      <c r="S57" s="133">
        <f>M57/-4</f>
        <v>-0.05</v>
      </c>
      <c r="T57" s="131">
        <f t="shared" si="4"/>
        <v>210.7</v>
      </c>
      <c r="U57" s="131">
        <f t="shared" si="17"/>
        <v>172</v>
      </c>
      <c r="V57" s="131">
        <f t="shared" si="6"/>
        <v>94.075000000000003</v>
      </c>
      <c r="W57" s="131">
        <f t="shared" si="18"/>
        <v>103.75</v>
      </c>
      <c r="X57" s="131">
        <f t="shared" si="10"/>
        <v>0</v>
      </c>
      <c r="Y57" s="131">
        <f t="shared" si="19"/>
        <v>0</v>
      </c>
      <c r="Z57" s="183">
        <f t="shared" si="13"/>
        <v>1.0470779220779295E-2</v>
      </c>
      <c r="AA57" s="134">
        <f t="shared" si="20"/>
        <v>0.10470779220779221</v>
      </c>
      <c r="AB57" s="190">
        <v>1</v>
      </c>
      <c r="AC57" s="190">
        <v>10</v>
      </c>
    </row>
    <row r="58" spans="2:30" s="187" customFormat="1" ht="56" hidden="1" x14ac:dyDescent="0.35">
      <c r="B58" s="114" t="str">
        <f t="shared" si="15"/>
        <v>Heating, Cooling, Ventilation Systems - Low Carbon District Energy System + Dedicated Outdoor AirCondominium</v>
      </c>
      <c r="C58" s="244" t="s">
        <v>342</v>
      </c>
      <c r="D58" s="116" t="s">
        <v>161</v>
      </c>
      <c r="E58" s="117">
        <v>0.32</v>
      </c>
      <c r="F58" s="117">
        <v>0.5</v>
      </c>
      <c r="G58" s="117">
        <v>0.21</v>
      </c>
      <c r="H58" s="117">
        <v>0.3</v>
      </c>
      <c r="I58" s="117">
        <f t="shared" si="16"/>
        <v>0.255</v>
      </c>
      <c r="J58" s="188">
        <f>VLOOKUP(D58,'Existing Building EUI'!$B$7:$E$16,3,FALSE)</f>
        <v>215</v>
      </c>
      <c r="K58" s="188">
        <f>VLOOKUP(D58,'Existing Building EUI'!$B$7:$E$16,4,FALSE)</f>
        <v>93</v>
      </c>
      <c r="L58" s="189">
        <v>0.8</v>
      </c>
      <c r="M58" s="117">
        <v>0.95</v>
      </c>
      <c r="N58" s="183">
        <v>0.08</v>
      </c>
      <c r="O58" s="134">
        <v>0.15</v>
      </c>
      <c r="P58" s="117">
        <f>L58*-0.7</f>
        <v>-0.55999999999999994</v>
      </c>
      <c r="Q58" s="117">
        <f>M58*-0.7</f>
        <v>-0.66499999999999992</v>
      </c>
      <c r="R58" s="117">
        <v>0</v>
      </c>
      <c r="S58" s="117">
        <v>0</v>
      </c>
      <c r="T58" s="131">
        <f t="shared" si="4"/>
        <v>43</v>
      </c>
      <c r="U58" s="131">
        <f t="shared" si="17"/>
        <v>10.75</v>
      </c>
      <c r="V58" s="131">
        <f t="shared" si="6"/>
        <v>85.56</v>
      </c>
      <c r="W58" s="131">
        <f t="shared" si="18"/>
        <v>79.05</v>
      </c>
      <c r="X58" s="131">
        <f t="shared" si="10"/>
        <v>120.39999999999999</v>
      </c>
      <c r="Y58" s="131">
        <f>(Q58*J58)*-1</f>
        <v>142.97499999999999</v>
      </c>
      <c r="Z58" s="183">
        <f t="shared" si="13"/>
        <v>0.19168831168831174</v>
      </c>
      <c r="AA58" s="134">
        <f t="shared" si="20"/>
        <v>0.24423701298701306</v>
      </c>
      <c r="AB58" s="190">
        <v>1</v>
      </c>
      <c r="AC58" s="190">
        <v>10</v>
      </c>
    </row>
    <row r="59" spans="2:30" s="187" customFormat="1" ht="56" hidden="1" x14ac:dyDescent="0.35">
      <c r="B59" s="114" t="str">
        <f t="shared" si="15"/>
        <v>Heating, Cooling, Ventilation Systems - Air Source Heat Pumps + Dedicated Outdoor AirCondominium</v>
      </c>
      <c r="C59" s="164" t="s">
        <v>287</v>
      </c>
      <c r="D59" s="116" t="s">
        <v>161</v>
      </c>
      <c r="E59" s="117">
        <v>0.32</v>
      </c>
      <c r="F59" s="117">
        <v>0.5</v>
      </c>
      <c r="G59" s="117">
        <v>0.21</v>
      </c>
      <c r="H59" s="117">
        <v>0.3</v>
      </c>
      <c r="I59" s="117">
        <f t="shared" si="16"/>
        <v>0.255</v>
      </c>
      <c r="J59" s="188">
        <f>VLOOKUP(D59,'Existing Building EUI'!$B$7:$E$16,3,FALSE)</f>
        <v>215</v>
      </c>
      <c r="K59" s="188">
        <f>VLOOKUP(D59,'Existing Building EUI'!$B$7:$E$16,4,FALSE)</f>
        <v>93</v>
      </c>
      <c r="L59" s="189">
        <v>0.8</v>
      </c>
      <c r="M59" s="117">
        <v>0.95</v>
      </c>
      <c r="N59" s="183">
        <v>0.08</v>
      </c>
      <c r="O59" s="134">
        <v>0.15</v>
      </c>
      <c r="P59" s="117">
        <v>0</v>
      </c>
      <c r="Q59" s="117">
        <v>0</v>
      </c>
      <c r="R59" s="133">
        <f t="shared" ref="R59:S59" si="21">L59/-2</f>
        <v>-0.4</v>
      </c>
      <c r="S59" s="133">
        <f t="shared" si="21"/>
        <v>-0.47499999999999998</v>
      </c>
      <c r="T59" s="131">
        <f t="shared" si="4"/>
        <v>43</v>
      </c>
      <c r="U59" s="131">
        <f t="shared" si="17"/>
        <v>10.75</v>
      </c>
      <c r="V59" s="131">
        <f t="shared" si="6"/>
        <v>171.56</v>
      </c>
      <c r="W59" s="131">
        <f t="shared" si="18"/>
        <v>181.17500000000001</v>
      </c>
      <c r="X59" s="131">
        <f t="shared" si="10"/>
        <v>0</v>
      </c>
      <c r="Y59" s="131">
        <f t="shared" si="19"/>
        <v>0</v>
      </c>
      <c r="Z59" s="183">
        <f t="shared" si="13"/>
        <v>0.30337662337662336</v>
      </c>
      <c r="AA59" s="134">
        <f t="shared" si="20"/>
        <v>0.3768668831168831</v>
      </c>
      <c r="AB59" s="190">
        <v>1</v>
      </c>
      <c r="AC59" s="190">
        <v>10</v>
      </c>
    </row>
    <row r="60" spans="2:30" s="187" customFormat="1" ht="56" hidden="1" x14ac:dyDescent="0.35">
      <c r="B60" s="114" t="str">
        <f t="shared" si="15"/>
        <v>Heating, Cooling, Ventilation Systems - Ground Source Heat Pumps + Dedicated Outdoor AirCondominium</v>
      </c>
      <c r="C60" s="164" t="s">
        <v>288</v>
      </c>
      <c r="D60" s="116" t="s">
        <v>161</v>
      </c>
      <c r="E60" s="117">
        <v>0.32</v>
      </c>
      <c r="F60" s="117">
        <v>0.5</v>
      </c>
      <c r="G60" s="117">
        <v>0.21</v>
      </c>
      <c r="H60" s="117">
        <v>0.3</v>
      </c>
      <c r="I60" s="117">
        <f t="shared" si="16"/>
        <v>0.255</v>
      </c>
      <c r="J60" s="188">
        <f>VLOOKUP(D60,'Existing Building EUI'!$B$7:$E$16,3,FALSE)</f>
        <v>215</v>
      </c>
      <c r="K60" s="188">
        <f>VLOOKUP(D60,'Existing Building EUI'!$B$7:$E$16,4,FALSE)</f>
        <v>93</v>
      </c>
      <c r="L60" s="189">
        <v>0.8</v>
      </c>
      <c r="M60" s="117">
        <v>0.95</v>
      </c>
      <c r="N60" s="183">
        <v>0.08</v>
      </c>
      <c r="O60" s="134">
        <v>0.15</v>
      </c>
      <c r="P60" s="117">
        <v>0</v>
      </c>
      <c r="Q60" s="117">
        <v>0</v>
      </c>
      <c r="R60" s="133">
        <f>L60/-3</f>
        <v>-0.26666666666666666</v>
      </c>
      <c r="S60" s="133">
        <f>M60/-3</f>
        <v>-0.31666666666666665</v>
      </c>
      <c r="T60" s="131">
        <f t="shared" si="4"/>
        <v>43</v>
      </c>
      <c r="U60" s="131">
        <f t="shared" si="17"/>
        <v>10.75</v>
      </c>
      <c r="V60" s="131">
        <f t="shared" si="6"/>
        <v>142.89333333333335</v>
      </c>
      <c r="W60" s="131">
        <f t="shared" si="18"/>
        <v>147.13333333333333</v>
      </c>
      <c r="X60" s="131">
        <f t="shared" si="10"/>
        <v>0</v>
      </c>
      <c r="Y60" s="131">
        <f t="shared" si="19"/>
        <v>0</v>
      </c>
      <c r="Z60" s="183">
        <f t="shared" si="13"/>
        <v>0.39645021645021639</v>
      </c>
      <c r="AA60" s="134">
        <f t="shared" si="20"/>
        <v>0.48739177489177493</v>
      </c>
      <c r="AB60" s="190">
        <v>1</v>
      </c>
      <c r="AC60" s="190">
        <v>10</v>
      </c>
    </row>
    <row r="61" spans="2:30" s="187" customFormat="1" ht="42" hidden="1" x14ac:dyDescent="0.35">
      <c r="B61" s="114" t="str">
        <f t="shared" si="15"/>
        <v>Gas Appliances - Electric and Induction Ranges &amp; Heat Pump Electric DryersCondominium</v>
      </c>
      <c r="C61" s="115" t="s">
        <v>205</v>
      </c>
      <c r="D61" s="116" t="s">
        <v>161</v>
      </c>
      <c r="E61" s="117">
        <v>0.01</v>
      </c>
      <c r="F61" s="117">
        <v>0.1</v>
      </c>
      <c r="G61" s="117">
        <v>0.05</v>
      </c>
      <c r="H61" s="117">
        <v>0.2</v>
      </c>
      <c r="I61" s="117">
        <f t="shared" si="16"/>
        <v>0.125</v>
      </c>
      <c r="J61" s="188">
        <f>VLOOKUP(D61,'Existing Building EUI'!$B$7:$E$16,3,FALSE)</f>
        <v>215</v>
      </c>
      <c r="K61" s="188">
        <f>VLOOKUP(D61,'Existing Building EUI'!$B$7:$E$16,4,FALSE)</f>
        <v>93</v>
      </c>
      <c r="L61" s="189">
        <v>0.02</v>
      </c>
      <c r="M61" s="117">
        <v>0.15</v>
      </c>
      <c r="N61" s="184">
        <v>0</v>
      </c>
      <c r="O61" s="134">
        <v>0</v>
      </c>
      <c r="P61" s="117">
        <v>0</v>
      </c>
      <c r="Q61" s="117">
        <v>0</v>
      </c>
      <c r="R61" s="133">
        <f>L61/-2</f>
        <v>-0.01</v>
      </c>
      <c r="S61" s="133">
        <f>M61/-2</f>
        <v>-7.4999999999999997E-2</v>
      </c>
      <c r="T61" s="131">
        <f t="shared" si="4"/>
        <v>210.7</v>
      </c>
      <c r="U61" s="131">
        <f t="shared" si="17"/>
        <v>182.75</v>
      </c>
      <c r="V61" s="131">
        <f t="shared" si="6"/>
        <v>95.15</v>
      </c>
      <c r="W61" s="131">
        <f t="shared" si="18"/>
        <v>109.125</v>
      </c>
      <c r="X61" s="131">
        <f t="shared" si="10"/>
        <v>0</v>
      </c>
      <c r="Y61" s="131">
        <f t="shared" si="19"/>
        <v>0</v>
      </c>
      <c r="Z61" s="183">
        <f t="shared" si="13"/>
        <v>6.9805194805194065E-3</v>
      </c>
      <c r="AA61" s="134">
        <f t="shared" si="20"/>
        <v>5.2353896103896104E-2</v>
      </c>
      <c r="AB61" s="190">
        <v>1</v>
      </c>
      <c r="AC61" s="190">
        <v>5</v>
      </c>
    </row>
    <row r="62" spans="2:30" s="187" customFormat="1" ht="28" hidden="1" x14ac:dyDescent="0.35">
      <c r="B62" s="114" t="str">
        <f t="shared" si="15"/>
        <v>Appliance Upgrades &amp; Lighting and Lighting ControlsCondominium</v>
      </c>
      <c r="C62" s="115" t="s">
        <v>206</v>
      </c>
      <c r="D62" s="116" t="s">
        <v>161</v>
      </c>
      <c r="E62" s="117">
        <v>0.11</v>
      </c>
      <c r="F62" s="117">
        <v>0.2</v>
      </c>
      <c r="G62" s="117">
        <v>0.01</v>
      </c>
      <c r="H62" s="117">
        <v>0.1</v>
      </c>
      <c r="I62" s="117">
        <f t="shared" si="16"/>
        <v>5.5E-2</v>
      </c>
      <c r="J62" s="188">
        <f>VLOOKUP(D62,'Existing Building EUI'!$B$7:$E$16,3,FALSE)</f>
        <v>215</v>
      </c>
      <c r="K62" s="188">
        <f>VLOOKUP(D62,'Existing Building EUI'!$B$7:$E$16,4,FALSE)</f>
        <v>93</v>
      </c>
      <c r="L62" s="189">
        <v>0</v>
      </c>
      <c r="M62" s="117">
        <v>0</v>
      </c>
      <c r="N62" s="183">
        <v>0.35</v>
      </c>
      <c r="O62" s="134">
        <v>0.5</v>
      </c>
      <c r="P62" s="117">
        <v>0</v>
      </c>
      <c r="Q62" s="117">
        <v>0</v>
      </c>
      <c r="R62" s="117">
        <v>0</v>
      </c>
      <c r="S62" s="117">
        <v>0</v>
      </c>
      <c r="T62" s="131">
        <f t="shared" si="4"/>
        <v>215</v>
      </c>
      <c r="U62" s="131">
        <f t="shared" si="17"/>
        <v>215</v>
      </c>
      <c r="V62" s="131">
        <f t="shared" si="6"/>
        <v>60.45</v>
      </c>
      <c r="W62" s="131">
        <f t="shared" si="18"/>
        <v>46.5</v>
      </c>
      <c r="X62" s="131">
        <f t="shared" si="10"/>
        <v>0</v>
      </c>
      <c r="Y62" s="131">
        <f t="shared" si="19"/>
        <v>0</v>
      </c>
      <c r="Z62" s="183">
        <f t="shared" si="13"/>
        <v>0.10568181818181822</v>
      </c>
      <c r="AA62" s="134">
        <f t="shared" si="20"/>
        <v>0.15097402597402598</v>
      </c>
      <c r="AB62" s="190">
        <v>0</v>
      </c>
      <c r="AC62" s="190">
        <v>0</v>
      </c>
      <c r="AD62" s="187">
        <v>0</v>
      </c>
    </row>
    <row r="63" spans="2:30" s="187" customFormat="1" ht="14.5" hidden="1" x14ac:dyDescent="0.35">
      <c r="B63" s="114" t="str">
        <f t="shared" si="15"/>
        <v>Renewables - Solar PVCondominium</v>
      </c>
      <c r="C63" s="115" t="s">
        <v>199</v>
      </c>
      <c r="D63" s="116" t="s">
        <v>161</v>
      </c>
      <c r="E63" s="117">
        <v>0.01</v>
      </c>
      <c r="F63" s="117">
        <v>0.1</v>
      </c>
      <c r="G63" s="117">
        <v>0.01</v>
      </c>
      <c r="H63" s="117">
        <v>0.05</v>
      </c>
      <c r="I63" s="117">
        <f t="shared" si="16"/>
        <v>3.0000000000000002E-2</v>
      </c>
      <c r="J63" s="188">
        <f>VLOOKUP(D63,'Existing Building EUI'!$B$7:$E$16,3,FALSE)</f>
        <v>215</v>
      </c>
      <c r="K63" s="188">
        <f>VLOOKUP(D63,'Existing Building EUI'!$B$7:$E$16,4,FALSE)</f>
        <v>93</v>
      </c>
      <c r="L63" s="189">
        <v>0</v>
      </c>
      <c r="M63" s="117">
        <v>0</v>
      </c>
      <c r="N63" s="183">
        <v>0.02</v>
      </c>
      <c r="O63" s="134">
        <v>0.22</v>
      </c>
      <c r="P63" s="117">
        <v>0</v>
      </c>
      <c r="Q63" s="117">
        <v>0</v>
      </c>
      <c r="R63" s="117">
        <v>0</v>
      </c>
      <c r="S63" s="117">
        <v>0</v>
      </c>
      <c r="T63" s="131">
        <f t="shared" si="4"/>
        <v>215</v>
      </c>
      <c r="U63" s="131">
        <f t="shared" si="17"/>
        <v>215</v>
      </c>
      <c r="V63" s="131">
        <f t="shared" si="6"/>
        <v>91.14</v>
      </c>
      <c r="W63" s="131">
        <f t="shared" si="18"/>
        <v>72.539999999999992</v>
      </c>
      <c r="X63" s="131">
        <f t="shared" si="10"/>
        <v>0</v>
      </c>
      <c r="Y63" s="131">
        <f t="shared" si="19"/>
        <v>0</v>
      </c>
      <c r="Z63" s="183">
        <f t="shared" si="13"/>
        <v>6.0389610389610833E-3</v>
      </c>
      <c r="AA63" s="134">
        <f t="shared" si="20"/>
        <v>6.6428571428571545E-2</v>
      </c>
      <c r="AB63" s="190">
        <v>26</v>
      </c>
      <c r="AC63" s="190">
        <v>50</v>
      </c>
    </row>
    <row r="64" spans="2:30" s="187" customFormat="1" ht="28" hidden="1" x14ac:dyDescent="0.35">
      <c r="B64" s="114" t="str">
        <f t="shared" si="15"/>
        <v>Renewables - Solar ThermalCondominium</v>
      </c>
      <c r="C64" s="115" t="s">
        <v>200</v>
      </c>
      <c r="D64" s="116" t="s">
        <v>161</v>
      </c>
      <c r="E64" s="117">
        <v>0.01</v>
      </c>
      <c r="F64" s="117">
        <v>0.1</v>
      </c>
      <c r="G64" s="117">
        <v>0.01</v>
      </c>
      <c r="H64" s="117">
        <v>0.05</v>
      </c>
      <c r="I64" s="117">
        <f t="shared" si="16"/>
        <v>3.0000000000000002E-2</v>
      </c>
      <c r="J64" s="188">
        <f>VLOOKUP(D64,'Existing Building EUI'!$B$7:$E$16,3,FALSE)</f>
        <v>215</v>
      </c>
      <c r="K64" s="188">
        <f>VLOOKUP(D64,'Existing Building EUI'!$B$7:$E$16,4,FALSE)</f>
        <v>93</v>
      </c>
      <c r="L64" s="189">
        <v>0.02</v>
      </c>
      <c r="M64" s="117">
        <v>0.1</v>
      </c>
      <c r="N64" s="183">
        <v>0</v>
      </c>
      <c r="O64" s="134">
        <v>0</v>
      </c>
      <c r="P64" s="117">
        <v>0</v>
      </c>
      <c r="Q64" s="117">
        <v>0</v>
      </c>
      <c r="R64" s="117">
        <v>0</v>
      </c>
      <c r="S64" s="117">
        <v>0</v>
      </c>
      <c r="T64" s="131">
        <f t="shared" si="4"/>
        <v>210.7</v>
      </c>
      <c r="U64" s="131">
        <f t="shared" si="17"/>
        <v>193.5</v>
      </c>
      <c r="V64" s="131">
        <f t="shared" si="6"/>
        <v>93</v>
      </c>
      <c r="W64" s="131">
        <f t="shared" si="18"/>
        <v>93</v>
      </c>
      <c r="X64" s="131">
        <f t="shared" si="10"/>
        <v>0</v>
      </c>
      <c r="Y64" s="131">
        <f t="shared" si="19"/>
        <v>0</v>
      </c>
      <c r="Z64" s="183">
        <f t="shared" si="13"/>
        <v>1.3961038961038999E-2</v>
      </c>
      <c r="AA64" s="134">
        <f t="shared" si="20"/>
        <v>6.9805194805194801E-2</v>
      </c>
      <c r="AB64" s="190">
        <v>26</v>
      </c>
      <c r="AC64" s="190">
        <v>50</v>
      </c>
    </row>
    <row r="65" spans="2:29" s="187" customFormat="1" ht="42" hidden="1" x14ac:dyDescent="0.35">
      <c r="B65" s="114" t="str">
        <f t="shared" si="15"/>
        <v>Building Envelope - High Performance Glazing with Enhanced Air SealingLow Rise Rental Apartment</v>
      </c>
      <c r="C65" s="115" t="s">
        <v>195</v>
      </c>
      <c r="D65" s="116" t="s">
        <v>183</v>
      </c>
      <c r="E65" s="117">
        <v>0.01</v>
      </c>
      <c r="F65" s="117">
        <v>0.1</v>
      </c>
      <c r="G65" s="117">
        <v>0.01</v>
      </c>
      <c r="H65" s="117">
        <v>0.1</v>
      </c>
      <c r="I65" s="117">
        <f t="shared" si="16"/>
        <v>5.5E-2</v>
      </c>
      <c r="J65" s="188">
        <f>VLOOKUP(D65,'Existing Building EUI'!$B$7:$E$16,3,FALSE)</f>
        <v>234</v>
      </c>
      <c r="K65" s="188">
        <f>VLOOKUP(D65,'Existing Building EUI'!$B$7:$E$16,4,FALSE)</f>
        <v>107</v>
      </c>
      <c r="L65" s="189">
        <v>0.01</v>
      </c>
      <c r="M65" s="117">
        <v>0.11</v>
      </c>
      <c r="N65" s="189">
        <v>0.01</v>
      </c>
      <c r="O65" s="134">
        <v>0.08</v>
      </c>
      <c r="P65" s="117">
        <v>0</v>
      </c>
      <c r="Q65" s="117">
        <v>0</v>
      </c>
      <c r="R65" s="117">
        <v>0</v>
      </c>
      <c r="S65" s="117">
        <v>0</v>
      </c>
      <c r="T65" s="131">
        <f t="shared" si="4"/>
        <v>231.66</v>
      </c>
      <c r="U65" s="131">
        <f t="shared" si="17"/>
        <v>208.26</v>
      </c>
      <c r="V65" s="131">
        <f t="shared" ref="V65:V92" si="22">K65-((K65*N65)+(J65*R65))</f>
        <v>105.93</v>
      </c>
      <c r="W65" s="131">
        <f t="shared" si="18"/>
        <v>98.44</v>
      </c>
      <c r="X65" s="131">
        <f t="shared" si="10"/>
        <v>0</v>
      </c>
      <c r="Y65" s="131">
        <f t="shared" si="19"/>
        <v>0</v>
      </c>
      <c r="Z65" s="183">
        <f t="shared" si="13"/>
        <v>9.9999999999999065E-3</v>
      </c>
      <c r="AA65" s="134">
        <f t="shared" si="20"/>
        <v>0.10058651026392965</v>
      </c>
      <c r="AB65" s="190">
        <v>1</v>
      </c>
      <c r="AC65" s="190">
        <v>10</v>
      </c>
    </row>
    <row r="66" spans="2:29" s="187" customFormat="1" ht="42" hidden="1" x14ac:dyDescent="0.35">
      <c r="B66" s="114" t="str">
        <f t="shared" si="15"/>
        <v>Building Envelope - High Performance Glazing, Wall Insulation, &amp; Roof InsulationLow Rise Rental Apartment</v>
      </c>
      <c r="C66" s="115" t="s">
        <v>196</v>
      </c>
      <c r="D66" s="116" t="s">
        <v>183</v>
      </c>
      <c r="E66" s="117">
        <v>0.11</v>
      </c>
      <c r="F66" s="117">
        <v>0.2</v>
      </c>
      <c r="G66" s="117">
        <v>0.11</v>
      </c>
      <c r="H66" s="117">
        <v>0.2</v>
      </c>
      <c r="I66" s="117">
        <f t="shared" si="16"/>
        <v>0.155</v>
      </c>
      <c r="J66" s="188">
        <f>VLOOKUP(D66,'Existing Building EUI'!$B$7:$E$16,3,FALSE)</f>
        <v>234</v>
      </c>
      <c r="K66" s="188">
        <f>VLOOKUP(D66,'Existing Building EUI'!$B$7:$E$16,4,FALSE)</f>
        <v>107</v>
      </c>
      <c r="L66" s="189">
        <v>0.12</v>
      </c>
      <c r="M66" s="117">
        <v>0.2</v>
      </c>
      <c r="N66" s="183">
        <v>0.08</v>
      </c>
      <c r="O66" s="134">
        <v>0.15</v>
      </c>
      <c r="P66" s="117">
        <v>0</v>
      </c>
      <c r="Q66" s="117">
        <v>0</v>
      </c>
      <c r="R66" s="117">
        <v>0</v>
      </c>
      <c r="S66" s="117">
        <v>0</v>
      </c>
      <c r="T66" s="131">
        <f t="shared" ref="T66:T92" si="23">J66-(J66*L66)</f>
        <v>205.92000000000002</v>
      </c>
      <c r="U66" s="131">
        <f t="shared" si="17"/>
        <v>187.2</v>
      </c>
      <c r="V66" s="131">
        <f t="shared" si="22"/>
        <v>98.44</v>
      </c>
      <c r="W66" s="131">
        <f t="shared" si="18"/>
        <v>90.95</v>
      </c>
      <c r="X66" s="131">
        <f t="shared" si="10"/>
        <v>0</v>
      </c>
      <c r="Y66" s="131">
        <f t="shared" si="19"/>
        <v>0</v>
      </c>
      <c r="Z66" s="183">
        <f t="shared" ref="Z66:Z92" si="24">(SUM(T66,V66,X66)-SUM(J66:K66))/SUM(J66:K66)*-1</f>
        <v>0.10744868035190612</v>
      </c>
      <c r="AA66" s="134">
        <f t="shared" si="20"/>
        <v>0.18431085043988277</v>
      </c>
      <c r="AB66" s="190">
        <v>11</v>
      </c>
      <c r="AC66" s="190">
        <v>25</v>
      </c>
    </row>
    <row r="67" spans="2:29" s="187" customFormat="1" ht="42" x14ac:dyDescent="0.35">
      <c r="B67" s="114" t="str">
        <f t="shared" si="15"/>
        <v>Domestic Hot Water - Heat Pump and Electric Resistance Water HeatersLow Rise Rental Apartment</v>
      </c>
      <c r="C67" s="176" t="s">
        <v>197</v>
      </c>
      <c r="D67" s="116" t="s">
        <v>183</v>
      </c>
      <c r="E67" s="117">
        <v>0.11</v>
      </c>
      <c r="F67" s="117">
        <v>0.2</v>
      </c>
      <c r="G67" s="117">
        <v>0.21</v>
      </c>
      <c r="H67" s="117">
        <v>0.3</v>
      </c>
      <c r="I67" s="117">
        <f t="shared" si="16"/>
        <v>0.255</v>
      </c>
      <c r="J67" s="188">
        <f>VLOOKUP(D67,'Existing Building EUI'!$B$7:$E$16,3,FALSE)</f>
        <v>234</v>
      </c>
      <c r="K67" s="188">
        <f>VLOOKUP(D67,'Existing Building EUI'!$B$7:$E$16,4,FALSE)</f>
        <v>107</v>
      </c>
      <c r="L67" s="189">
        <v>0.22</v>
      </c>
      <c r="M67" s="117">
        <v>0.3</v>
      </c>
      <c r="N67" s="183">
        <v>0</v>
      </c>
      <c r="O67" s="134">
        <v>0</v>
      </c>
      <c r="P67" s="117">
        <v>0</v>
      </c>
      <c r="Q67" s="117">
        <v>0</v>
      </c>
      <c r="R67" s="133">
        <f>L67/-4</f>
        <v>-5.5E-2</v>
      </c>
      <c r="S67" s="133">
        <f>M67/-4</f>
        <v>-7.4999999999999997E-2</v>
      </c>
      <c r="T67" s="131">
        <f t="shared" si="23"/>
        <v>182.52</v>
      </c>
      <c r="U67" s="131">
        <f t="shared" si="17"/>
        <v>163.80000000000001</v>
      </c>
      <c r="V67" s="131">
        <f t="shared" si="22"/>
        <v>119.87</v>
      </c>
      <c r="W67" s="131">
        <f t="shared" si="18"/>
        <v>124.55</v>
      </c>
      <c r="X67" s="131">
        <f t="shared" si="10"/>
        <v>0</v>
      </c>
      <c r="Y67" s="131">
        <f t="shared" si="19"/>
        <v>0</v>
      </c>
      <c r="Z67" s="183">
        <f t="shared" si="24"/>
        <v>0.11322580645161294</v>
      </c>
      <c r="AA67" s="134">
        <f t="shared" si="20"/>
        <v>0.15439882697947208</v>
      </c>
      <c r="AB67" s="190">
        <v>1</v>
      </c>
      <c r="AC67" s="190">
        <v>10</v>
      </c>
    </row>
    <row r="68" spans="2:29" s="187" customFormat="1" ht="56" hidden="1" x14ac:dyDescent="0.35">
      <c r="B68" s="114" t="str">
        <f t="shared" si="15"/>
        <v>Heating, Cooling, Ventilation Systems - Low Carbon District Energy System + Energy Recovery VentilatorsLow Rise Rental Apartment</v>
      </c>
      <c r="C68" s="244" t="s">
        <v>344</v>
      </c>
      <c r="D68" s="116" t="s">
        <v>183</v>
      </c>
      <c r="E68" s="117">
        <v>0.21</v>
      </c>
      <c r="F68" s="117">
        <v>0.3</v>
      </c>
      <c r="G68" s="117">
        <v>0.31</v>
      </c>
      <c r="H68" s="117">
        <v>0.4</v>
      </c>
      <c r="I68" s="117">
        <f t="shared" si="16"/>
        <v>0.35499999999999998</v>
      </c>
      <c r="J68" s="188">
        <f>VLOOKUP(D68,'Existing Building EUI'!$B$7:$E$16,3,FALSE)</f>
        <v>234</v>
      </c>
      <c r="K68" s="188">
        <f>VLOOKUP(D68,'Existing Building EUI'!$B$7:$E$16,4,FALSE)</f>
        <v>107</v>
      </c>
      <c r="L68" s="189">
        <v>0.7</v>
      </c>
      <c r="M68" s="117">
        <v>0.8</v>
      </c>
      <c r="N68" s="183">
        <v>0.08</v>
      </c>
      <c r="O68" s="134">
        <v>0.1</v>
      </c>
      <c r="P68" s="117">
        <f>L68*-0.7</f>
        <v>-0.48999999999999994</v>
      </c>
      <c r="Q68" s="117">
        <f>M68*-0.7</f>
        <v>-0.55999999999999994</v>
      </c>
      <c r="R68" s="117">
        <v>0</v>
      </c>
      <c r="S68" s="117">
        <v>0</v>
      </c>
      <c r="T68" s="131">
        <f t="shared" si="23"/>
        <v>70.200000000000017</v>
      </c>
      <c r="U68" s="131">
        <f t="shared" si="17"/>
        <v>46.799999999999983</v>
      </c>
      <c r="V68" s="131">
        <f t="shared" si="22"/>
        <v>98.44</v>
      </c>
      <c r="W68" s="131">
        <f t="shared" si="18"/>
        <v>96.3</v>
      </c>
      <c r="X68" s="131">
        <f t="shared" si="10"/>
        <v>114.65999999999998</v>
      </c>
      <c r="Y68" s="131">
        <f>(Q68*J68)*-1</f>
        <v>131.04</v>
      </c>
      <c r="Z68" s="183">
        <f t="shared" si="24"/>
        <v>0.16920821114369497</v>
      </c>
      <c r="AA68" s="134">
        <f t="shared" si="20"/>
        <v>0.19607038123167159</v>
      </c>
      <c r="AB68" s="190">
        <v>11</v>
      </c>
      <c r="AC68" s="190">
        <v>25</v>
      </c>
    </row>
    <row r="69" spans="2:29" s="187" customFormat="1" ht="56" hidden="1" x14ac:dyDescent="0.35">
      <c r="B69" s="114" t="str">
        <f t="shared" si="15"/>
        <v>Heating, Cooling, Ventilation Systems - Air Source Heat Pumps + Energy Recovery VentilatorsLow Rise Rental Apartment</v>
      </c>
      <c r="C69" s="115" t="s">
        <v>207</v>
      </c>
      <c r="D69" s="116" t="s">
        <v>183</v>
      </c>
      <c r="E69" s="117">
        <v>0.21</v>
      </c>
      <c r="F69" s="117">
        <v>0.3</v>
      </c>
      <c r="G69" s="117">
        <v>0.31</v>
      </c>
      <c r="H69" s="117">
        <v>0.4</v>
      </c>
      <c r="I69" s="117">
        <f t="shared" si="16"/>
        <v>0.35499999999999998</v>
      </c>
      <c r="J69" s="188">
        <f>VLOOKUP(D69,'Existing Building EUI'!$B$7:$E$16,3,FALSE)</f>
        <v>234</v>
      </c>
      <c r="K69" s="188">
        <f>VLOOKUP(D69,'Existing Building EUI'!$B$7:$E$16,4,FALSE)</f>
        <v>107</v>
      </c>
      <c r="L69" s="189">
        <v>0.7</v>
      </c>
      <c r="M69" s="117">
        <v>0.8</v>
      </c>
      <c r="N69" s="183">
        <v>0.08</v>
      </c>
      <c r="O69" s="134">
        <v>0.1</v>
      </c>
      <c r="P69" s="117">
        <v>0</v>
      </c>
      <c r="Q69" s="117">
        <v>0</v>
      </c>
      <c r="R69" s="133">
        <f t="shared" ref="R69:S69" si="25">L69/-2</f>
        <v>-0.35</v>
      </c>
      <c r="S69" s="133">
        <f t="shared" si="25"/>
        <v>-0.4</v>
      </c>
      <c r="T69" s="131">
        <f t="shared" si="23"/>
        <v>70.200000000000017</v>
      </c>
      <c r="U69" s="131">
        <f t="shared" si="17"/>
        <v>46.799999999999983</v>
      </c>
      <c r="V69" s="131">
        <f t="shared" si="22"/>
        <v>180.33999999999997</v>
      </c>
      <c r="W69" s="131">
        <f t="shared" si="18"/>
        <v>189.9</v>
      </c>
      <c r="X69" s="131">
        <f t="shared" ref="X69:X92" si="26">(P69*J69)*-1</f>
        <v>0</v>
      </c>
      <c r="Y69" s="131">
        <f t="shared" si="19"/>
        <v>0</v>
      </c>
      <c r="Z69" s="183">
        <f t="shared" si="24"/>
        <v>0.26527859237536661</v>
      </c>
      <c r="AA69" s="134">
        <f t="shared" si="20"/>
        <v>0.30586510263929623</v>
      </c>
      <c r="AB69" s="190">
        <v>11</v>
      </c>
      <c r="AC69" s="190">
        <v>25</v>
      </c>
    </row>
    <row r="70" spans="2:29" s="187" customFormat="1" ht="56" hidden="1" x14ac:dyDescent="0.35">
      <c r="B70" s="114" t="str">
        <f t="shared" si="15"/>
        <v>Heating, Cooling, Ventilation Systems - Ground Source Heat Pumps + Energy Recovery VentilatorsLow Rise Rental Apartment</v>
      </c>
      <c r="C70" s="115" t="s">
        <v>208</v>
      </c>
      <c r="D70" s="116" t="s">
        <v>183</v>
      </c>
      <c r="E70" s="117">
        <v>0.21</v>
      </c>
      <c r="F70" s="117">
        <v>0.3</v>
      </c>
      <c r="G70" s="117">
        <v>0.31</v>
      </c>
      <c r="H70" s="117">
        <v>0.4</v>
      </c>
      <c r="I70" s="117">
        <f t="shared" si="16"/>
        <v>0.35499999999999998</v>
      </c>
      <c r="J70" s="188">
        <f>VLOOKUP(D70,'Existing Building EUI'!$B$7:$E$16,3,FALSE)</f>
        <v>234</v>
      </c>
      <c r="K70" s="188">
        <f>VLOOKUP(D70,'Existing Building EUI'!$B$7:$E$16,4,FALSE)</f>
        <v>107</v>
      </c>
      <c r="L70" s="189">
        <v>0.7</v>
      </c>
      <c r="M70" s="117">
        <v>0.8</v>
      </c>
      <c r="N70" s="183">
        <v>0.08</v>
      </c>
      <c r="O70" s="134">
        <v>0.1</v>
      </c>
      <c r="P70" s="117">
        <v>0</v>
      </c>
      <c r="Q70" s="117">
        <v>0</v>
      </c>
      <c r="R70" s="133">
        <f>L70/-3</f>
        <v>-0.23333333333333331</v>
      </c>
      <c r="S70" s="133">
        <f>M70/-3</f>
        <v>-0.26666666666666666</v>
      </c>
      <c r="T70" s="131">
        <f t="shared" si="23"/>
        <v>70.200000000000017</v>
      </c>
      <c r="U70" s="131">
        <f t="shared" si="17"/>
        <v>46.799999999999983</v>
      </c>
      <c r="V70" s="131">
        <f t="shared" si="22"/>
        <v>153.04</v>
      </c>
      <c r="W70" s="131">
        <f t="shared" si="18"/>
        <v>158.69999999999999</v>
      </c>
      <c r="X70" s="131">
        <f t="shared" si="26"/>
        <v>0</v>
      </c>
      <c r="Y70" s="131">
        <f t="shared" si="19"/>
        <v>0</v>
      </c>
      <c r="Z70" s="183">
        <f t="shared" si="24"/>
        <v>0.34533724340175953</v>
      </c>
      <c r="AA70" s="134">
        <f t="shared" si="20"/>
        <v>0.39736070381231681</v>
      </c>
      <c r="AB70" s="190">
        <v>11</v>
      </c>
      <c r="AC70" s="190">
        <v>25</v>
      </c>
    </row>
    <row r="71" spans="2:29" s="187" customFormat="1" ht="42" hidden="1" x14ac:dyDescent="0.35">
      <c r="B71" s="114" t="str">
        <f t="shared" si="15"/>
        <v>Gas Appliances - Electric and Induction Ranges &amp; Heat Pump Electric DryersLow Rise Rental Apartment</v>
      </c>
      <c r="C71" s="115" t="s">
        <v>205</v>
      </c>
      <c r="D71" s="116" t="s">
        <v>183</v>
      </c>
      <c r="E71" s="117">
        <v>0.01</v>
      </c>
      <c r="F71" s="117">
        <v>0.1</v>
      </c>
      <c r="G71" s="117">
        <v>0.05</v>
      </c>
      <c r="H71" s="117">
        <v>0.2</v>
      </c>
      <c r="I71" s="117">
        <f t="shared" si="16"/>
        <v>0.125</v>
      </c>
      <c r="J71" s="188">
        <f>VLOOKUP(D71,'Existing Building EUI'!$B$7:$E$16,3,FALSE)</f>
        <v>234</v>
      </c>
      <c r="K71" s="188">
        <f>VLOOKUP(D71,'Existing Building EUI'!$B$7:$E$16,4,FALSE)</f>
        <v>107</v>
      </c>
      <c r="L71" s="189">
        <v>0.02</v>
      </c>
      <c r="M71" s="117">
        <v>0.15</v>
      </c>
      <c r="N71" s="184">
        <v>0</v>
      </c>
      <c r="O71" s="134">
        <v>0</v>
      </c>
      <c r="P71" s="117">
        <v>0</v>
      </c>
      <c r="Q71" s="117">
        <v>0</v>
      </c>
      <c r="R71" s="133">
        <f>L71/-2</f>
        <v>-0.01</v>
      </c>
      <c r="S71" s="133">
        <f>M71/-2</f>
        <v>-7.4999999999999997E-2</v>
      </c>
      <c r="T71" s="131">
        <f t="shared" si="23"/>
        <v>229.32</v>
      </c>
      <c r="U71" s="131">
        <f t="shared" si="17"/>
        <v>198.9</v>
      </c>
      <c r="V71" s="131">
        <f t="shared" si="22"/>
        <v>109.34</v>
      </c>
      <c r="W71" s="131">
        <f t="shared" si="18"/>
        <v>124.55</v>
      </c>
      <c r="X71" s="131">
        <f t="shared" si="26"/>
        <v>0</v>
      </c>
      <c r="Y71" s="131">
        <f t="shared" si="19"/>
        <v>0</v>
      </c>
      <c r="Z71" s="183">
        <f t="shared" si="24"/>
        <v>6.8621700879766328E-3</v>
      </c>
      <c r="AA71" s="134">
        <f t="shared" si="20"/>
        <v>5.1466275659824083E-2</v>
      </c>
      <c r="AB71" s="190">
        <v>1</v>
      </c>
      <c r="AC71" s="190">
        <v>5</v>
      </c>
    </row>
    <row r="72" spans="2:29" s="187" customFormat="1" ht="42" hidden="1" x14ac:dyDescent="0.35">
      <c r="B72" s="114" t="str">
        <f t="shared" si="15"/>
        <v>Appliance Upgrades &amp; Lighting and Lighting ControlsLow Rise Rental Apartment</v>
      </c>
      <c r="C72" s="115" t="s">
        <v>206</v>
      </c>
      <c r="D72" s="116" t="s">
        <v>183</v>
      </c>
      <c r="E72" s="117">
        <v>0.11</v>
      </c>
      <c r="F72" s="117">
        <v>0.2</v>
      </c>
      <c r="G72" s="117">
        <v>0.01</v>
      </c>
      <c r="H72" s="117">
        <v>0.1</v>
      </c>
      <c r="I72" s="117">
        <f t="shared" si="16"/>
        <v>5.5E-2</v>
      </c>
      <c r="J72" s="188">
        <f>VLOOKUP(D72,'Existing Building EUI'!$B$7:$E$16,3,FALSE)</f>
        <v>234</v>
      </c>
      <c r="K72" s="188">
        <f>VLOOKUP(D72,'Existing Building EUI'!$B$7:$E$16,4,FALSE)</f>
        <v>107</v>
      </c>
      <c r="L72" s="189">
        <v>0</v>
      </c>
      <c r="M72" s="117">
        <v>0</v>
      </c>
      <c r="N72" s="183">
        <v>0.35</v>
      </c>
      <c r="O72" s="134">
        <v>0.5</v>
      </c>
      <c r="P72" s="117">
        <v>0</v>
      </c>
      <c r="Q72" s="117">
        <v>0</v>
      </c>
      <c r="R72" s="117">
        <v>0</v>
      </c>
      <c r="S72" s="117">
        <v>0</v>
      </c>
      <c r="T72" s="131">
        <f t="shared" si="23"/>
        <v>234</v>
      </c>
      <c r="U72" s="131">
        <f t="shared" si="17"/>
        <v>234</v>
      </c>
      <c r="V72" s="131">
        <f t="shared" si="22"/>
        <v>69.550000000000011</v>
      </c>
      <c r="W72" s="131">
        <f t="shared" si="18"/>
        <v>53.5</v>
      </c>
      <c r="X72" s="131">
        <f t="shared" si="26"/>
        <v>0</v>
      </c>
      <c r="Y72" s="131">
        <f t="shared" si="19"/>
        <v>0</v>
      </c>
      <c r="Z72" s="183">
        <f t="shared" si="24"/>
        <v>0.10982404692082108</v>
      </c>
      <c r="AA72" s="134">
        <f t="shared" si="20"/>
        <v>0.15689149560117302</v>
      </c>
      <c r="AB72" s="190">
        <v>0</v>
      </c>
      <c r="AC72" s="190">
        <v>0</v>
      </c>
    </row>
    <row r="73" spans="2:29" s="187" customFormat="1" ht="28" hidden="1" x14ac:dyDescent="0.35">
      <c r="B73" s="114" t="str">
        <f t="shared" si="15"/>
        <v>Renewables - Solar PVLow Rise Rental Apartment</v>
      </c>
      <c r="C73" s="115" t="s">
        <v>199</v>
      </c>
      <c r="D73" s="116" t="s">
        <v>183</v>
      </c>
      <c r="E73" s="117">
        <v>0.01</v>
      </c>
      <c r="F73" s="117">
        <v>0.1</v>
      </c>
      <c r="G73" s="117">
        <v>0.01</v>
      </c>
      <c r="H73" s="117">
        <v>0.05</v>
      </c>
      <c r="I73" s="117">
        <f t="shared" si="16"/>
        <v>3.0000000000000002E-2</v>
      </c>
      <c r="J73" s="188">
        <f>VLOOKUP(D73,'Existing Building EUI'!$B$7:$E$16,3,FALSE)</f>
        <v>234</v>
      </c>
      <c r="K73" s="188">
        <f>VLOOKUP(D73,'Existing Building EUI'!$B$7:$E$16,4,FALSE)</f>
        <v>107</v>
      </c>
      <c r="L73" s="189">
        <v>0</v>
      </c>
      <c r="M73" s="117">
        <v>0</v>
      </c>
      <c r="N73" s="183">
        <v>0.02</v>
      </c>
      <c r="O73" s="134">
        <v>0.3</v>
      </c>
      <c r="P73" s="117">
        <v>0</v>
      </c>
      <c r="Q73" s="117">
        <v>0</v>
      </c>
      <c r="R73" s="117">
        <v>0</v>
      </c>
      <c r="S73" s="117">
        <v>0</v>
      </c>
      <c r="T73" s="131">
        <f t="shared" si="23"/>
        <v>234</v>
      </c>
      <c r="U73" s="131">
        <f t="shared" si="17"/>
        <v>234</v>
      </c>
      <c r="V73" s="131">
        <f t="shared" si="22"/>
        <v>104.86</v>
      </c>
      <c r="W73" s="131">
        <f t="shared" si="18"/>
        <v>74.900000000000006</v>
      </c>
      <c r="X73" s="131">
        <f t="shared" si="26"/>
        <v>0</v>
      </c>
      <c r="Y73" s="131">
        <f t="shared" si="19"/>
        <v>0</v>
      </c>
      <c r="Z73" s="183">
        <f t="shared" si="24"/>
        <v>6.2756598240468805E-3</v>
      </c>
      <c r="AA73" s="134">
        <f t="shared" si="20"/>
        <v>9.4134897360703879E-2</v>
      </c>
      <c r="AB73" s="192">
        <v>26</v>
      </c>
      <c r="AC73" s="192">
        <v>50</v>
      </c>
    </row>
    <row r="74" spans="2:29" s="187" customFormat="1" ht="28" hidden="1" x14ac:dyDescent="0.35">
      <c r="B74" s="114" t="str">
        <f t="shared" si="15"/>
        <v>Renewables - Solar ThermalLow Rise Rental Apartment</v>
      </c>
      <c r="C74" s="115" t="s">
        <v>200</v>
      </c>
      <c r="D74" s="116" t="s">
        <v>183</v>
      </c>
      <c r="E74" s="117">
        <v>0.01</v>
      </c>
      <c r="F74" s="117">
        <v>0.1</v>
      </c>
      <c r="G74" s="117">
        <v>0.01</v>
      </c>
      <c r="H74" s="117">
        <v>0.05</v>
      </c>
      <c r="I74" s="117">
        <f t="shared" si="16"/>
        <v>3.0000000000000002E-2</v>
      </c>
      <c r="J74" s="188">
        <f>VLOOKUP(D74,'Existing Building EUI'!$B$7:$E$16,3,FALSE)</f>
        <v>234</v>
      </c>
      <c r="K74" s="188">
        <f>VLOOKUP(D74,'Existing Building EUI'!$B$7:$E$16,4,FALSE)</f>
        <v>107</v>
      </c>
      <c r="L74" s="189">
        <v>0.02</v>
      </c>
      <c r="M74" s="117">
        <v>0.1</v>
      </c>
      <c r="N74" s="183">
        <v>0</v>
      </c>
      <c r="O74" s="134">
        <v>0</v>
      </c>
      <c r="P74" s="117">
        <v>0</v>
      </c>
      <c r="Q74" s="117">
        <v>0</v>
      </c>
      <c r="R74" s="117">
        <v>0</v>
      </c>
      <c r="S74" s="117">
        <v>0</v>
      </c>
      <c r="T74" s="131">
        <f t="shared" si="23"/>
        <v>229.32</v>
      </c>
      <c r="U74" s="131">
        <f t="shared" si="17"/>
        <v>210.6</v>
      </c>
      <c r="V74" s="131">
        <f t="shared" si="22"/>
        <v>107</v>
      </c>
      <c r="W74" s="131">
        <f t="shared" si="18"/>
        <v>107</v>
      </c>
      <c r="X74" s="131">
        <f t="shared" si="26"/>
        <v>0</v>
      </c>
      <c r="Y74" s="131">
        <f t="shared" si="19"/>
        <v>0</v>
      </c>
      <c r="Z74" s="183">
        <f t="shared" si="24"/>
        <v>1.3724340175953099E-2</v>
      </c>
      <c r="AA74" s="134">
        <f t="shared" si="20"/>
        <v>6.8621700879765324E-2</v>
      </c>
      <c r="AB74" s="190">
        <v>26</v>
      </c>
      <c r="AC74" s="190">
        <v>50</v>
      </c>
    </row>
    <row r="75" spans="2:29" s="187" customFormat="1" ht="42" hidden="1" x14ac:dyDescent="0.35">
      <c r="B75" s="114" t="str">
        <f t="shared" si="15"/>
        <v>Building Envelope - High Performance Glazing with Enhanced Air SealingSingle Family Home Attached</v>
      </c>
      <c r="C75" s="115" t="s">
        <v>195</v>
      </c>
      <c r="D75" s="116" t="s">
        <v>182</v>
      </c>
      <c r="E75" s="117">
        <v>0.01</v>
      </c>
      <c r="F75" s="117">
        <v>0.1</v>
      </c>
      <c r="G75" s="117">
        <v>0.01</v>
      </c>
      <c r="H75" s="117">
        <v>0.1</v>
      </c>
      <c r="I75" s="117">
        <f t="shared" si="16"/>
        <v>5.5E-2</v>
      </c>
      <c r="J75" s="188">
        <f>VLOOKUP(D75,'Existing Building EUI'!$B$7:$E$16,3,FALSE)</f>
        <v>147</v>
      </c>
      <c r="K75" s="188">
        <f>VLOOKUP(D75,'Existing Building EUI'!$B$7:$E$16,4,FALSE)</f>
        <v>43</v>
      </c>
      <c r="L75" s="189">
        <v>0.01</v>
      </c>
      <c r="M75" s="117">
        <v>0.11</v>
      </c>
      <c r="N75" s="189">
        <v>0.01</v>
      </c>
      <c r="O75" s="134">
        <v>0.08</v>
      </c>
      <c r="P75" s="117">
        <v>0</v>
      </c>
      <c r="Q75" s="117">
        <v>0</v>
      </c>
      <c r="R75" s="117">
        <v>0</v>
      </c>
      <c r="S75" s="117">
        <v>0</v>
      </c>
      <c r="T75" s="131">
        <f t="shared" si="23"/>
        <v>145.53</v>
      </c>
      <c r="U75" s="131">
        <f t="shared" si="17"/>
        <v>130.82999999999998</v>
      </c>
      <c r="V75" s="131">
        <f t="shared" si="22"/>
        <v>42.57</v>
      </c>
      <c r="W75" s="131">
        <f t="shared" si="18"/>
        <v>39.56</v>
      </c>
      <c r="X75" s="131">
        <f t="shared" si="26"/>
        <v>0</v>
      </c>
      <c r="Y75" s="131">
        <f t="shared" si="19"/>
        <v>0</v>
      </c>
      <c r="Z75" s="183">
        <f t="shared" si="24"/>
        <v>1.000000000000003E-2</v>
      </c>
      <c r="AA75" s="134">
        <f t="shared" si="20"/>
        <v>0.10321052631578954</v>
      </c>
      <c r="AB75" s="190">
        <v>1</v>
      </c>
      <c r="AC75" s="190">
        <v>10</v>
      </c>
    </row>
    <row r="76" spans="2:29" s="187" customFormat="1" ht="42" hidden="1" x14ac:dyDescent="0.35">
      <c r="B76" s="114" t="str">
        <f t="shared" si="15"/>
        <v>Building Envelope - High Performance Glazing, Wall Insulation, &amp; Roof InsulationSingle Family Home Attached</v>
      </c>
      <c r="C76" s="115" t="s">
        <v>196</v>
      </c>
      <c r="D76" s="116" t="s">
        <v>182</v>
      </c>
      <c r="E76" s="117">
        <v>0.11</v>
      </c>
      <c r="F76" s="117">
        <v>0.2</v>
      </c>
      <c r="G76" s="117">
        <v>0.11</v>
      </c>
      <c r="H76" s="117">
        <v>0.2</v>
      </c>
      <c r="I76" s="117">
        <f t="shared" si="16"/>
        <v>0.155</v>
      </c>
      <c r="J76" s="188">
        <f>VLOOKUP(D76,'Existing Building EUI'!$B$7:$E$16,3,FALSE)</f>
        <v>147</v>
      </c>
      <c r="K76" s="188">
        <f>VLOOKUP(D76,'Existing Building EUI'!$B$7:$E$16,4,FALSE)</f>
        <v>43</v>
      </c>
      <c r="L76" s="189">
        <v>0.12</v>
      </c>
      <c r="M76" s="117">
        <v>0.2</v>
      </c>
      <c r="N76" s="183">
        <v>0.08</v>
      </c>
      <c r="O76" s="134">
        <v>0.15</v>
      </c>
      <c r="P76" s="117">
        <v>0</v>
      </c>
      <c r="Q76" s="117">
        <v>0</v>
      </c>
      <c r="R76" s="117">
        <v>0</v>
      </c>
      <c r="S76" s="117">
        <v>0</v>
      </c>
      <c r="T76" s="131">
        <f t="shared" si="23"/>
        <v>129.36000000000001</v>
      </c>
      <c r="U76" s="131">
        <f t="shared" si="17"/>
        <v>117.6</v>
      </c>
      <c r="V76" s="131">
        <f t="shared" si="22"/>
        <v>39.56</v>
      </c>
      <c r="W76" s="131">
        <f t="shared" si="18"/>
        <v>36.549999999999997</v>
      </c>
      <c r="X76" s="131">
        <f t="shared" si="26"/>
        <v>0</v>
      </c>
      <c r="Y76" s="131">
        <f t="shared" si="19"/>
        <v>0</v>
      </c>
      <c r="Z76" s="183">
        <f t="shared" si="24"/>
        <v>0.11094736842105254</v>
      </c>
      <c r="AA76" s="134">
        <f t="shared" si="20"/>
        <v>0.1886842105263159</v>
      </c>
      <c r="AB76" s="190">
        <v>1</v>
      </c>
      <c r="AC76" s="190">
        <v>10</v>
      </c>
    </row>
    <row r="77" spans="2:29" s="187" customFormat="1" ht="28" x14ac:dyDescent="0.35">
      <c r="B77" s="114" t="str">
        <f t="shared" si="15"/>
        <v>Domestic Hot Water - Electric Water HeaterSingle Family Home Attached</v>
      </c>
      <c r="C77" s="115" t="s">
        <v>202</v>
      </c>
      <c r="D77" s="116" t="s">
        <v>182</v>
      </c>
      <c r="E77" s="117">
        <v>0.11</v>
      </c>
      <c r="F77" s="117">
        <v>0.2</v>
      </c>
      <c r="G77" s="117">
        <v>0.11</v>
      </c>
      <c r="H77" s="117">
        <v>0.2</v>
      </c>
      <c r="I77" s="117">
        <f t="shared" si="16"/>
        <v>0.155</v>
      </c>
      <c r="J77" s="188">
        <f>VLOOKUP(D77,'Existing Building EUI'!$B$7:$E$16,3,FALSE)</f>
        <v>147</v>
      </c>
      <c r="K77" s="188">
        <f>VLOOKUP(D77,'Existing Building EUI'!$B$7:$E$16,4,FALSE)</f>
        <v>43</v>
      </c>
      <c r="L77" s="189">
        <v>0.2</v>
      </c>
      <c r="M77" s="117">
        <v>0.3</v>
      </c>
      <c r="N77" s="183">
        <v>0</v>
      </c>
      <c r="O77" s="134">
        <v>0</v>
      </c>
      <c r="P77" s="117">
        <v>0</v>
      </c>
      <c r="Q77" s="117">
        <v>0</v>
      </c>
      <c r="R77" s="133">
        <f>L77/-4</f>
        <v>-0.05</v>
      </c>
      <c r="S77" s="133">
        <f>M77/-4</f>
        <v>-7.4999999999999997E-2</v>
      </c>
      <c r="T77" s="131">
        <f t="shared" si="23"/>
        <v>117.6</v>
      </c>
      <c r="U77" s="131">
        <f t="shared" si="17"/>
        <v>102.9</v>
      </c>
      <c r="V77" s="131">
        <f t="shared" si="22"/>
        <v>50.35</v>
      </c>
      <c r="W77" s="131">
        <f t="shared" si="18"/>
        <v>54.024999999999999</v>
      </c>
      <c r="X77" s="131">
        <f t="shared" si="26"/>
        <v>0</v>
      </c>
      <c r="Y77" s="131">
        <f t="shared" si="19"/>
        <v>0</v>
      </c>
      <c r="Z77" s="183">
        <f t="shared" si="24"/>
        <v>0.11605263157894743</v>
      </c>
      <c r="AA77" s="134">
        <f t="shared" si="20"/>
        <v>0.174078947368421</v>
      </c>
      <c r="AB77" s="190">
        <v>1</v>
      </c>
      <c r="AC77" s="190">
        <v>10</v>
      </c>
    </row>
    <row r="78" spans="2:29" s="187" customFormat="1" ht="70" hidden="1" x14ac:dyDescent="0.35">
      <c r="B78" s="114" t="str">
        <f t="shared" si="15"/>
        <v>Heating, Cooling, Ventilation, Systems - Air Source Heat Pumps + Energy Recovery Ventilators + Smart ThermostatsSingle Family Home Attached</v>
      </c>
      <c r="C78" s="164" t="s">
        <v>289</v>
      </c>
      <c r="D78" s="116" t="s">
        <v>182</v>
      </c>
      <c r="E78" s="117">
        <v>0.01</v>
      </c>
      <c r="F78" s="117">
        <v>0.5</v>
      </c>
      <c r="G78" s="117">
        <v>0.01</v>
      </c>
      <c r="H78" s="117">
        <v>0.45</v>
      </c>
      <c r="I78" s="117">
        <f t="shared" si="16"/>
        <v>0.23</v>
      </c>
      <c r="J78" s="188">
        <f>VLOOKUP(D78,'Existing Building EUI'!$B$7:$E$16,3,FALSE)</f>
        <v>147</v>
      </c>
      <c r="K78" s="188">
        <f>VLOOKUP(D78,'Existing Building EUI'!$B$7:$E$16,4,FALSE)</f>
        <v>43</v>
      </c>
      <c r="L78" s="189">
        <v>0.6</v>
      </c>
      <c r="M78" s="117">
        <v>0.8</v>
      </c>
      <c r="N78" s="183">
        <v>0.01</v>
      </c>
      <c r="O78" s="134">
        <v>0.05</v>
      </c>
      <c r="P78" s="117">
        <v>0</v>
      </c>
      <c r="Q78" s="117">
        <v>0</v>
      </c>
      <c r="R78" s="133">
        <f t="shared" ref="R78:S78" si="27">L78/-2.4</f>
        <v>-0.25</v>
      </c>
      <c r="S78" s="133">
        <f t="shared" si="27"/>
        <v>-0.33333333333333337</v>
      </c>
      <c r="T78" s="131">
        <f t="shared" si="23"/>
        <v>58.8</v>
      </c>
      <c r="U78" s="131">
        <f t="shared" si="17"/>
        <v>29.399999999999991</v>
      </c>
      <c r="V78" s="131">
        <f t="shared" si="22"/>
        <v>79.319999999999993</v>
      </c>
      <c r="W78" s="131">
        <f t="shared" si="18"/>
        <v>89.850000000000009</v>
      </c>
      <c r="X78" s="131">
        <f t="shared" si="26"/>
        <v>0</v>
      </c>
      <c r="Y78" s="131">
        <f t="shared" si="19"/>
        <v>0</v>
      </c>
      <c r="Z78" s="183">
        <f t="shared" si="24"/>
        <v>0.27305263157894732</v>
      </c>
      <c r="AA78" s="134">
        <f t="shared" si="20"/>
        <v>0.37236842105263157</v>
      </c>
      <c r="AB78" s="190">
        <v>1</v>
      </c>
      <c r="AC78" s="190">
        <v>10</v>
      </c>
    </row>
    <row r="79" spans="2:29" s="187" customFormat="1" ht="70" hidden="1" x14ac:dyDescent="0.35">
      <c r="B79" s="114" t="str">
        <f t="shared" si="15"/>
        <v>Heating, Cooling, Ventilation, Systems - Ground Source Heat Pumps + Energy Recovery Ventilators + Smart ThermostatsSingle Family Home Attached</v>
      </c>
      <c r="C79" s="164" t="s">
        <v>290</v>
      </c>
      <c r="D79" s="116" t="s">
        <v>182</v>
      </c>
      <c r="E79" s="117">
        <v>0.01</v>
      </c>
      <c r="F79" s="117">
        <v>0.5</v>
      </c>
      <c r="G79" s="117">
        <v>0.01</v>
      </c>
      <c r="H79" s="117">
        <v>0.45</v>
      </c>
      <c r="I79" s="117">
        <f t="shared" si="16"/>
        <v>0.23</v>
      </c>
      <c r="J79" s="188">
        <f>VLOOKUP(D79,'Existing Building EUI'!$B$7:$E$16,3,FALSE)</f>
        <v>147</v>
      </c>
      <c r="K79" s="188">
        <f>VLOOKUP(D79,'Existing Building EUI'!$B$7:$E$16,4,FALSE)</f>
        <v>43</v>
      </c>
      <c r="L79" s="189">
        <v>0.6</v>
      </c>
      <c r="M79" s="117">
        <v>0.8</v>
      </c>
      <c r="N79" s="183">
        <v>0.01</v>
      </c>
      <c r="O79" s="134">
        <v>0.05</v>
      </c>
      <c r="P79" s="117">
        <v>0</v>
      </c>
      <c r="Q79" s="117">
        <v>0</v>
      </c>
      <c r="R79" s="133">
        <f>L79/-3</f>
        <v>-0.19999999999999998</v>
      </c>
      <c r="S79" s="133">
        <f>M79/-3</f>
        <v>-0.26666666666666666</v>
      </c>
      <c r="T79" s="131">
        <f t="shared" si="23"/>
        <v>58.8</v>
      </c>
      <c r="U79" s="131">
        <f t="shared" si="17"/>
        <v>29.399999999999991</v>
      </c>
      <c r="V79" s="131">
        <f t="shared" si="22"/>
        <v>71.97</v>
      </c>
      <c r="W79" s="131">
        <f t="shared" si="18"/>
        <v>80.050000000000011</v>
      </c>
      <c r="X79" s="131">
        <f t="shared" si="26"/>
        <v>0</v>
      </c>
      <c r="Y79" s="131">
        <f t="shared" si="19"/>
        <v>0</v>
      </c>
      <c r="Z79" s="183">
        <f t="shared" si="24"/>
        <v>0.31173684210526326</v>
      </c>
      <c r="AA79" s="134">
        <f t="shared" si="20"/>
        <v>0.42394736842105263</v>
      </c>
      <c r="AB79" s="190">
        <v>1</v>
      </c>
      <c r="AC79" s="190">
        <v>10</v>
      </c>
    </row>
    <row r="80" spans="2:29" s="187" customFormat="1" ht="42" hidden="1" x14ac:dyDescent="0.35">
      <c r="B80" s="114" t="str">
        <f t="shared" si="15"/>
        <v>Gas Appliances - Electric and Induction Ranges &amp; Heat Pump Electric DryersSingle Family Home Attached</v>
      </c>
      <c r="C80" s="115" t="s">
        <v>205</v>
      </c>
      <c r="D80" s="116" t="s">
        <v>182</v>
      </c>
      <c r="E80" s="117">
        <v>0.01</v>
      </c>
      <c r="F80" s="117">
        <v>0.1</v>
      </c>
      <c r="G80" s="117">
        <v>0.05</v>
      </c>
      <c r="H80" s="117">
        <v>0.2</v>
      </c>
      <c r="I80" s="117">
        <f t="shared" si="16"/>
        <v>0.125</v>
      </c>
      <c r="J80" s="188">
        <f>VLOOKUP(D80,'Existing Building EUI'!$B$7:$E$16,3,FALSE)</f>
        <v>147</v>
      </c>
      <c r="K80" s="188">
        <f>VLOOKUP(D80,'Existing Building EUI'!$B$7:$E$16,4,FALSE)</f>
        <v>43</v>
      </c>
      <c r="L80" s="189">
        <v>0.02</v>
      </c>
      <c r="M80" s="117">
        <v>0.15</v>
      </c>
      <c r="N80" s="184">
        <v>0</v>
      </c>
      <c r="O80" s="134">
        <v>0</v>
      </c>
      <c r="P80" s="117">
        <v>0</v>
      </c>
      <c r="Q80" s="117">
        <v>0</v>
      </c>
      <c r="R80" s="133">
        <f>L80/-2</f>
        <v>-0.01</v>
      </c>
      <c r="S80" s="133">
        <f>M80/-2</f>
        <v>-7.4999999999999997E-2</v>
      </c>
      <c r="T80" s="131">
        <f t="shared" si="23"/>
        <v>144.06</v>
      </c>
      <c r="U80" s="131">
        <f t="shared" si="17"/>
        <v>124.95</v>
      </c>
      <c r="V80" s="131">
        <f t="shared" si="22"/>
        <v>44.47</v>
      </c>
      <c r="W80" s="131">
        <f t="shared" si="18"/>
        <v>54.024999999999999</v>
      </c>
      <c r="X80" s="131">
        <f t="shared" si="26"/>
        <v>0</v>
      </c>
      <c r="Y80" s="131">
        <f t="shared" si="19"/>
        <v>0</v>
      </c>
      <c r="Z80" s="183">
        <f t="shared" si="24"/>
        <v>7.7368421052631522E-3</v>
      </c>
      <c r="AA80" s="134">
        <f t="shared" si="20"/>
        <v>5.8026315789473717E-2</v>
      </c>
      <c r="AB80" s="190">
        <v>1</v>
      </c>
      <c r="AC80" s="190">
        <v>5</v>
      </c>
    </row>
    <row r="81" spans="2:29" s="187" customFormat="1" ht="42" hidden="1" x14ac:dyDescent="0.35">
      <c r="B81" s="114" t="str">
        <f t="shared" si="15"/>
        <v>Appliance Upgrades &amp; Lighting and Lighting ControlsSingle Family Home Attached</v>
      </c>
      <c r="C81" s="115" t="s">
        <v>206</v>
      </c>
      <c r="D81" s="116" t="s">
        <v>182</v>
      </c>
      <c r="E81" s="117">
        <v>0.11</v>
      </c>
      <c r="F81" s="117">
        <v>0.2</v>
      </c>
      <c r="G81" s="117">
        <v>0.01</v>
      </c>
      <c r="H81" s="117">
        <v>0.1</v>
      </c>
      <c r="I81" s="117">
        <f t="shared" si="16"/>
        <v>5.5E-2</v>
      </c>
      <c r="J81" s="188">
        <f>VLOOKUP(D81,'Existing Building EUI'!$B$7:$E$16,3,FALSE)</f>
        <v>147</v>
      </c>
      <c r="K81" s="188">
        <f>VLOOKUP(D81,'Existing Building EUI'!$B$7:$E$16,4,FALSE)</f>
        <v>43</v>
      </c>
      <c r="L81" s="189">
        <v>0</v>
      </c>
      <c r="M81" s="117">
        <v>0</v>
      </c>
      <c r="N81" s="183">
        <v>0.5</v>
      </c>
      <c r="O81" s="134">
        <v>0.7</v>
      </c>
      <c r="P81" s="117">
        <v>0</v>
      </c>
      <c r="Q81" s="117">
        <v>0</v>
      </c>
      <c r="R81" s="117">
        <v>0</v>
      </c>
      <c r="S81" s="117">
        <v>0</v>
      </c>
      <c r="T81" s="131">
        <f t="shared" si="23"/>
        <v>147</v>
      </c>
      <c r="U81" s="131">
        <f t="shared" si="17"/>
        <v>147</v>
      </c>
      <c r="V81" s="131">
        <f t="shared" si="22"/>
        <v>21.5</v>
      </c>
      <c r="W81" s="131">
        <f t="shared" si="18"/>
        <v>12.900000000000002</v>
      </c>
      <c r="X81" s="131">
        <f t="shared" si="26"/>
        <v>0</v>
      </c>
      <c r="Y81" s="131">
        <f t="shared" si="19"/>
        <v>0</v>
      </c>
      <c r="Z81" s="183">
        <f t="shared" si="24"/>
        <v>0.11315789473684211</v>
      </c>
      <c r="AA81" s="134">
        <f t="shared" si="20"/>
        <v>0.15842105263157891</v>
      </c>
      <c r="AB81" s="190">
        <v>0</v>
      </c>
      <c r="AC81" s="190">
        <v>0</v>
      </c>
    </row>
    <row r="82" spans="2:29" s="187" customFormat="1" ht="28" hidden="1" x14ac:dyDescent="0.35">
      <c r="B82" s="114" t="str">
        <f t="shared" si="15"/>
        <v>Renewables - Solar PVSingle Family Home Attached</v>
      </c>
      <c r="C82" s="115" t="s">
        <v>199</v>
      </c>
      <c r="D82" s="116" t="s">
        <v>182</v>
      </c>
      <c r="E82" s="117">
        <v>0.01</v>
      </c>
      <c r="F82" s="117">
        <v>0.1</v>
      </c>
      <c r="G82" s="117">
        <v>0.01</v>
      </c>
      <c r="H82" s="117">
        <v>0.05</v>
      </c>
      <c r="I82" s="117">
        <f t="shared" si="16"/>
        <v>3.0000000000000002E-2</v>
      </c>
      <c r="J82" s="188">
        <f>VLOOKUP(D82,'Existing Building EUI'!$B$7:$E$16,3,FALSE)</f>
        <v>147</v>
      </c>
      <c r="K82" s="188">
        <f>VLOOKUP(D82,'Existing Building EUI'!$B$7:$E$16,4,FALSE)</f>
        <v>43</v>
      </c>
      <c r="L82" s="189">
        <v>0</v>
      </c>
      <c r="M82" s="117">
        <v>0</v>
      </c>
      <c r="N82" s="183">
        <v>0.03</v>
      </c>
      <c r="O82" s="134">
        <v>0.4</v>
      </c>
      <c r="P82" s="117">
        <v>0</v>
      </c>
      <c r="Q82" s="117">
        <v>0</v>
      </c>
      <c r="R82" s="117">
        <v>0</v>
      </c>
      <c r="S82" s="117">
        <v>0</v>
      </c>
      <c r="T82" s="131">
        <f t="shared" si="23"/>
        <v>147</v>
      </c>
      <c r="U82" s="131">
        <f t="shared" si="17"/>
        <v>147</v>
      </c>
      <c r="V82" s="131">
        <f t="shared" si="22"/>
        <v>41.71</v>
      </c>
      <c r="W82" s="131">
        <f t="shared" si="18"/>
        <v>25.8</v>
      </c>
      <c r="X82" s="131">
        <f t="shared" si="26"/>
        <v>0</v>
      </c>
      <c r="Y82" s="131">
        <f t="shared" si="19"/>
        <v>0</v>
      </c>
      <c r="Z82" s="183">
        <f t="shared" si="24"/>
        <v>6.7894736842104841E-3</v>
      </c>
      <c r="AA82" s="134">
        <f t="shared" si="20"/>
        <v>9.0526315789473621E-2</v>
      </c>
      <c r="AB82" s="190">
        <v>26</v>
      </c>
      <c r="AC82" s="190">
        <v>50</v>
      </c>
    </row>
    <row r="83" spans="2:29" s="187" customFormat="1" ht="28" hidden="1" x14ac:dyDescent="0.35">
      <c r="B83" s="114" t="str">
        <f t="shared" si="15"/>
        <v>Renewables - Solar ThermalSingle Family Home Attached</v>
      </c>
      <c r="C83" s="115" t="s">
        <v>200</v>
      </c>
      <c r="D83" s="116" t="s">
        <v>182</v>
      </c>
      <c r="E83" s="117">
        <v>0.05</v>
      </c>
      <c r="F83" s="117">
        <v>0.15</v>
      </c>
      <c r="G83" s="117">
        <v>0.1</v>
      </c>
      <c r="H83" s="117">
        <v>0.2</v>
      </c>
      <c r="I83" s="117">
        <f t="shared" si="16"/>
        <v>0.15000000000000002</v>
      </c>
      <c r="J83" s="188">
        <f>VLOOKUP(D83,'Existing Building EUI'!$B$7:$E$16,3,FALSE)</f>
        <v>147</v>
      </c>
      <c r="K83" s="188">
        <f>VLOOKUP(D83,'Existing Building EUI'!$B$7:$E$16,4,FALSE)</f>
        <v>43</v>
      </c>
      <c r="L83" s="189">
        <v>7.0000000000000007E-2</v>
      </c>
      <c r="M83" s="117">
        <v>0.2</v>
      </c>
      <c r="N83" s="183">
        <v>0</v>
      </c>
      <c r="O83" s="134">
        <v>0</v>
      </c>
      <c r="P83" s="117">
        <v>0</v>
      </c>
      <c r="Q83" s="117">
        <v>0</v>
      </c>
      <c r="R83" s="117">
        <v>0</v>
      </c>
      <c r="S83" s="117">
        <v>0</v>
      </c>
      <c r="T83" s="131">
        <f t="shared" si="23"/>
        <v>136.71</v>
      </c>
      <c r="U83" s="131">
        <f t="shared" si="17"/>
        <v>117.6</v>
      </c>
      <c r="V83" s="131">
        <f t="shared" si="22"/>
        <v>43</v>
      </c>
      <c r="W83" s="131">
        <f t="shared" si="18"/>
        <v>43</v>
      </c>
      <c r="X83" s="131">
        <f t="shared" si="26"/>
        <v>0</v>
      </c>
      <c r="Y83" s="131">
        <f t="shared" si="19"/>
        <v>0</v>
      </c>
      <c r="Z83" s="183">
        <f t="shared" si="24"/>
        <v>5.4157894736842065E-2</v>
      </c>
      <c r="AA83" s="134">
        <f t="shared" si="20"/>
        <v>0.1547368421052632</v>
      </c>
      <c r="AB83" s="190">
        <v>26</v>
      </c>
      <c r="AC83" s="190">
        <v>50</v>
      </c>
    </row>
    <row r="84" spans="2:29" s="187" customFormat="1" ht="42" hidden="1" x14ac:dyDescent="0.35">
      <c r="B84" s="114" t="str">
        <f t="shared" si="15"/>
        <v>Building Envelope - High Performance Glazing with Enhanced Air SealingSingle Family Home Detached</v>
      </c>
      <c r="C84" s="115" t="s">
        <v>195</v>
      </c>
      <c r="D84" s="116" t="s">
        <v>209</v>
      </c>
      <c r="E84" s="117">
        <v>0.01</v>
      </c>
      <c r="F84" s="117">
        <v>0.1</v>
      </c>
      <c r="G84" s="117">
        <v>0.01</v>
      </c>
      <c r="H84" s="117">
        <v>0.1</v>
      </c>
      <c r="I84" s="117">
        <f t="shared" si="16"/>
        <v>5.5E-2</v>
      </c>
      <c r="J84" s="188">
        <f>VLOOKUP(D84,'Existing Building EUI'!$B$7:$E$16,3,FALSE)</f>
        <v>203</v>
      </c>
      <c r="K84" s="188">
        <f>VLOOKUP(D84,'Existing Building EUI'!$B$7:$E$16,4,FALSE)</f>
        <v>38</v>
      </c>
      <c r="L84" s="189">
        <v>0.01</v>
      </c>
      <c r="M84" s="117">
        <v>0.11</v>
      </c>
      <c r="N84" s="189">
        <v>0.01</v>
      </c>
      <c r="O84" s="134">
        <v>7.0000000000000007E-2</v>
      </c>
      <c r="P84" s="117">
        <v>0</v>
      </c>
      <c r="Q84" s="117">
        <v>0</v>
      </c>
      <c r="R84" s="117">
        <v>0</v>
      </c>
      <c r="S84" s="117">
        <v>0</v>
      </c>
      <c r="T84" s="131">
        <f t="shared" si="23"/>
        <v>200.97</v>
      </c>
      <c r="U84" s="131">
        <f t="shared" si="17"/>
        <v>180.67</v>
      </c>
      <c r="V84" s="131">
        <f t="shared" si="22"/>
        <v>37.619999999999997</v>
      </c>
      <c r="W84" s="131">
        <f t="shared" si="18"/>
        <v>35.340000000000003</v>
      </c>
      <c r="X84" s="131">
        <f t="shared" si="26"/>
        <v>0</v>
      </c>
      <c r="Y84" s="131">
        <f t="shared" si="19"/>
        <v>0</v>
      </c>
      <c r="Z84" s="183">
        <f t="shared" si="24"/>
        <v>9.9999999999999863E-3</v>
      </c>
      <c r="AA84" s="134">
        <f t="shared" si="20"/>
        <v>0.10369294605809132</v>
      </c>
      <c r="AB84" s="190">
        <v>1</v>
      </c>
      <c r="AC84" s="190">
        <v>10</v>
      </c>
    </row>
    <row r="85" spans="2:29" s="187" customFormat="1" ht="42" hidden="1" x14ac:dyDescent="0.35">
      <c r="B85" s="114" t="str">
        <f t="shared" si="15"/>
        <v>Building Envelope - High Performance Glazing, Wall Insulation, &amp; Roof InsulationSingle Family Home Detached</v>
      </c>
      <c r="C85" s="115" t="s">
        <v>196</v>
      </c>
      <c r="D85" s="116" t="s">
        <v>209</v>
      </c>
      <c r="E85" s="117">
        <v>0.11</v>
      </c>
      <c r="F85" s="117">
        <v>0.2</v>
      </c>
      <c r="G85" s="117">
        <v>0.11</v>
      </c>
      <c r="H85" s="117">
        <v>0.2</v>
      </c>
      <c r="I85" s="117">
        <f t="shared" si="16"/>
        <v>0.155</v>
      </c>
      <c r="J85" s="188">
        <f>VLOOKUP(D85,'Existing Building EUI'!$B$7:$E$16,3,FALSE)</f>
        <v>203</v>
      </c>
      <c r="K85" s="188">
        <f>VLOOKUP(D85,'Existing Building EUI'!$B$7:$E$16,4,FALSE)</f>
        <v>38</v>
      </c>
      <c r="L85" s="189">
        <v>0.12</v>
      </c>
      <c r="M85" s="117">
        <v>0.2</v>
      </c>
      <c r="N85" s="183">
        <v>0.08</v>
      </c>
      <c r="O85" s="134">
        <v>0.15</v>
      </c>
      <c r="P85" s="117">
        <v>0</v>
      </c>
      <c r="Q85" s="117">
        <v>0</v>
      </c>
      <c r="R85" s="117">
        <v>0</v>
      </c>
      <c r="S85" s="117">
        <v>0</v>
      </c>
      <c r="T85" s="131">
        <f t="shared" si="23"/>
        <v>178.64</v>
      </c>
      <c r="U85" s="131">
        <f t="shared" si="17"/>
        <v>162.4</v>
      </c>
      <c r="V85" s="131">
        <f t="shared" si="22"/>
        <v>34.96</v>
      </c>
      <c r="W85" s="131">
        <f t="shared" si="18"/>
        <v>32.299999999999997</v>
      </c>
      <c r="X85" s="131">
        <f t="shared" si="26"/>
        <v>0</v>
      </c>
      <c r="Y85" s="131">
        <f t="shared" si="19"/>
        <v>0</v>
      </c>
      <c r="Z85" s="183">
        <f t="shared" si="24"/>
        <v>0.11369294605809131</v>
      </c>
      <c r="AA85" s="134">
        <f t="shared" si="20"/>
        <v>0.19211618257261415</v>
      </c>
      <c r="AB85" s="190">
        <v>1</v>
      </c>
      <c r="AC85" s="190">
        <v>10</v>
      </c>
    </row>
    <row r="86" spans="2:29" s="187" customFormat="1" ht="28" x14ac:dyDescent="0.35">
      <c r="B86" s="114" t="str">
        <f t="shared" si="15"/>
        <v>Domestic Hot Water - Electric Water HeaterSingle Family Home Detached</v>
      </c>
      <c r="C86" s="115" t="s">
        <v>202</v>
      </c>
      <c r="D86" s="116" t="s">
        <v>209</v>
      </c>
      <c r="E86" s="117">
        <v>0.21</v>
      </c>
      <c r="F86" s="117">
        <v>0.3</v>
      </c>
      <c r="G86" s="117">
        <v>0.21</v>
      </c>
      <c r="H86" s="117">
        <v>0.3</v>
      </c>
      <c r="I86" s="117">
        <f t="shared" si="16"/>
        <v>0.255</v>
      </c>
      <c r="J86" s="188">
        <f>VLOOKUP(D86,'Existing Building EUI'!$B$7:$E$16,3,FALSE)</f>
        <v>203</v>
      </c>
      <c r="K86" s="188">
        <f>VLOOKUP(D86,'Existing Building EUI'!$B$7:$E$16,4,FALSE)</f>
        <v>38</v>
      </c>
      <c r="L86" s="189">
        <v>0.2</v>
      </c>
      <c r="M86" s="117">
        <v>0.3</v>
      </c>
      <c r="N86" s="183">
        <v>0</v>
      </c>
      <c r="O86" s="134">
        <v>0</v>
      </c>
      <c r="P86" s="117">
        <v>0</v>
      </c>
      <c r="Q86" s="117">
        <v>0</v>
      </c>
      <c r="R86" s="133">
        <f>L86/-4</f>
        <v>-0.05</v>
      </c>
      <c r="S86" s="133">
        <f>M86/-4</f>
        <v>-7.4999999999999997E-2</v>
      </c>
      <c r="T86" s="131">
        <f t="shared" si="23"/>
        <v>162.4</v>
      </c>
      <c r="U86" s="131">
        <f t="shared" si="17"/>
        <v>142.1</v>
      </c>
      <c r="V86" s="131">
        <f t="shared" si="22"/>
        <v>48.15</v>
      </c>
      <c r="W86" s="131">
        <f t="shared" si="18"/>
        <v>53.225000000000001</v>
      </c>
      <c r="X86" s="131">
        <f t="shared" si="26"/>
        <v>0</v>
      </c>
      <c r="Y86" s="131">
        <f t="shared" si="19"/>
        <v>0</v>
      </c>
      <c r="Z86" s="183">
        <f t="shared" si="24"/>
        <v>0.12634854771784226</v>
      </c>
      <c r="AA86" s="134">
        <f t="shared" si="20"/>
        <v>0.18952282157676353</v>
      </c>
      <c r="AB86" s="190">
        <v>1</v>
      </c>
      <c r="AC86" s="190">
        <v>10</v>
      </c>
    </row>
    <row r="87" spans="2:29" s="187" customFormat="1" ht="70" hidden="1" x14ac:dyDescent="0.35">
      <c r="B87" s="114" t="str">
        <f t="shared" si="15"/>
        <v>Heating, Cooling, Ventilation, Systems - Air Source Heat Pumps + Energy Recovery Ventilators + Smart ThermostatsSingle Family Home Detached</v>
      </c>
      <c r="C87" s="164" t="s">
        <v>289</v>
      </c>
      <c r="D87" s="116" t="s">
        <v>209</v>
      </c>
      <c r="E87" s="117">
        <v>0.01</v>
      </c>
      <c r="F87" s="117">
        <v>0.6</v>
      </c>
      <c r="G87" s="117">
        <v>0.01</v>
      </c>
      <c r="H87" s="117">
        <v>0.55000000000000004</v>
      </c>
      <c r="I87" s="117">
        <f t="shared" si="16"/>
        <v>0.28000000000000003</v>
      </c>
      <c r="J87" s="188">
        <f>VLOOKUP(D87,'Existing Building EUI'!$B$7:$E$16,3,FALSE)</f>
        <v>203</v>
      </c>
      <c r="K87" s="188">
        <f>VLOOKUP(D87,'Existing Building EUI'!$B$7:$E$16,4,FALSE)</f>
        <v>38</v>
      </c>
      <c r="L87" s="189">
        <v>0.6</v>
      </c>
      <c r="M87" s="117">
        <v>0.8</v>
      </c>
      <c r="N87" s="183">
        <v>0.01</v>
      </c>
      <c r="O87" s="134">
        <v>0.05</v>
      </c>
      <c r="P87" s="117">
        <v>0</v>
      </c>
      <c r="Q87" s="117">
        <v>0</v>
      </c>
      <c r="R87" s="133">
        <f t="shared" ref="R87:S87" si="28">L87/-2.4</f>
        <v>-0.25</v>
      </c>
      <c r="S87" s="133">
        <f t="shared" si="28"/>
        <v>-0.33333333333333337</v>
      </c>
      <c r="T87" s="131">
        <f t="shared" si="23"/>
        <v>81.2</v>
      </c>
      <c r="U87" s="131">
        <f t="shared" si="17"/>
        <v>40.599999999999994</v>
      </c>
      <c r="V87" s="131">
        <f t="shared" si="22"/>
        <v>88.37</v>
      </c>
      <c r="W87" s="131">
        <f t="shared" si="18"/>
        <v>103.76666666666667</v>
      </c>
      <c r="X87" s="131">
        <f t="shared" si="26"/>
        <v>0</v>
      </c>
      <c r="Y87" s="131">
        <f t="shared" si="19"/>
        <v>0</v>
      </c>
      <c r="Z87" s="183">
        <f t="shared" si="24"/>
        <v>0.29639004149377596</v>
      </c>
      <c r="AA87" s="134">
        <f t="shared" si="20"/>
        <v>0.40096818810511753</v>
      </c>
      <c r="AB87" s="190">
        <v>1</v>
      </c>
      <c r="AC87" s="190">
        <v>10</v>
      </c>
    </row>
    <row r="88" spans="2:29" s="187" customFormat="1" ht="70" hidden="1" x14ac:dyDescent="0.35">
      <c r="B88" s="114" t="str">
        <f t="shared" si="15"/>
        <v>Heating, Cooling, Ventilation, Systems - Ground Source Heat Pumps + Energy Recovery Ventilators + Smart ThermostatsSingle Family Home Detached</v>
      </c>
      <c r="C88" s="164" t="s">
        <v>290</v>
      </c>
      <c r="D88" s="116" t="s">
        <v>209</v>
      </c>
      <c r="E88" s="117">
        <v>0.01</v>
      </c>
      <c r="F88" s="117">
        <v>0.6</v>
      </c>
      <c r="G88" s="117">
        <v>0.01</v>
      </c>
      <c r="H88" s="117">
        <v>0.55000000000000004</v>
      </c>
      <c r="I88" s="117">
        <f t="shared" si="16"/>
        <v>0.28000000000000003</v>
      </c>
      <c r="J88" s="188">
        <f>VLOOKUP(D88,'Existing Building EUI'!$B$7:$E$16,3,FALSE)</f>
        <v>203</v>
      </c>
      <c r="K88" s="188">
        <f>VLOOKUP(D88,'Existing Building EUI'!$B$7:$E$16,4,FALSE)</f>
        <v>38</v>
      </c>
      <c r="L88" s="189">
        <v>0.6</v>
      </c>
      <c r="M88" s="117">
        <v>0.8</v>
      </c>
      <c r="N88" s="183">
        <v>0.01</v>
      </c>
      <c r="O88" s="134">
        <v>0.05</v>
      </c>
      <c r="P88" s="117">
        <v>0</v>
      </c>
      <c r="Q88" s="117">
        <v>0</v>
      </c>
      <c r="R88" s="133">
        <f>L88/-3</f>
        <v>-0.19999999999999998</v>
      </c>
      <c r="S88" s="133">
        <f>M88/-3</f>
        <v>-0.26666666666666666</v>
      </c>
      <c r="T88" s="131">
        <f t="shared" si="23"/>
        <v>81.2</v>
      </c>
      <c r="U88" s="131">
        <f t="shared" si="17"/>
        <v>40.599999999999994</v>
      </c>
      <c r="V88" s="131">
        <f t="shared" si="22"/>
        <v>78.22</v>
      </c>
      <c r="W88" s="131">
        <f t="shared" si="18"/>
        <v>90.233333333333334</v>
      </c>
      <c r="X88" s="131">
        <f t="shared" si="26"/>
        <v>0</v>
      </c>
      <c r="Y88" s="131">
        <f t="shared" si="19"/>
        <v>0</v>
      </c>
      <c r="Z88" s="183">
        <f t="shared" si="24"/>
        <v>0.33850622406638997</v>
      </c>
      <c r="AA88" s="134">
        <f t="shared" si="20"/>
        <v>0.45712309820193647</v>
      </c>
      <c r="AB88" s="190">
        <v>1</v>
      </c>
      <c r="AC88" s="190">
        <v>10</v>
      </c>
    </row>
    <row r="89" spans="2:29" s="187" customFormat="1" ht="42" hidden="1" x14ac:dyDescent="0.35">
      <c r="B89" s="114" t="str">
        <f t="shared" si="15"/>
        <v>Gas Appliances - Electric and Induction Ranges &amp; Heat Pump Electric DryersSingle Family Home Detached</v>
      </c>
      <c r="C89" s="115" t="s">
        <v>205</v>
      </c>
      <c r="D89" s="116" t="s">
        <v>209</v>
      </c>
      <c r="E89" s="117">
        <v>0.01</v>
      </c>
      <c r="F89" s="117">
        <v>0.1</v>
      </c>
      <c r="G89" s="117">
        <v>0.05</v>
      </c>
      <c r="H89" s="117">
        <v>0.2</v>
      </c>
      <c r="I89" s="117">
        <f t="shared" si="16"/>
        <v>0.125</v>
      </c>
      <c r="J89" s="188">
        <f>VLOOKUP(D89,'Existing Building EUI'!$B$7:$E$16,3,FALSE)</f>
        <v>203</v>
      </c>
      <c r="K89" s="188">
        <f>VLOOKUP(D89,'Existing Building EUI'!$B$7:$E$16,4,FALSE)</f>
        <v>38</v>
      </c>
      <c r="L89" s="189">
        <v>0.02</v>
      </c>
      <c r="M89" s="117">
        <v>0.15</v>
      </c>
      <c r="N89" s="184">
        <v>0</v>
      </c>
      <c r="O89" s="134">
        <v>0</v>
      </c>
      <c r="P89" s="117">
        <v>0</v>
      </c>
      <c r="Q89" s="117">
        <v>0</v>
      </c>
      <c r="R89" s="133">
        <f>L89/-2</f>
        <v>-0.01</v>
      </c>
      <c r="S89" s="133">
        <f>M89/-2</f>
        <v>-7.4999999999999997E-2</v>
      </c>
      <c r="T89" s="131">
        <f t="shared" si="23"/>
        <v>198.94</v>
      </c>
      <c r="U89" s="131">
        <f t="shared" si="17"/>
        <v>172.55</v>
      </c>
      <c r="V89" s="131">
        <f t="shared" si="22"/>
        <v>40.03</v>
      </c>
      <c r="W89" s="131">
        <f t="shared" si="18"/>
        <v>53.225000000000001</v>
      </c>
      <c r="X89" s="131">
        <f t="shared" si="26"/>
        <v>0</v>
      </c>
      <c r="Y89" s="131">
        <f t="shared" si="19"/>
        <v>0</v>
      </c>
      <c r="Z89" s="183">
        <f t="shared" si="24"/>
        <v>8.423236514522826E-3</v>
      </c>
      <c r="AA89" s="134">
        <f t="shared" si="20"/>
        <v>6.3174273858921132E-2</v>
      </c>
      <c r="AB89" s="190">
        <v>1</v>
      </c>
      <c r="AC89" s="190">
        <v>5</v>
      </c>
    </row>
    <row r="90" spans="2:29" s="187" customFormat="1" ht="42" hidden="1" x14ac:dyDescent="0.35">
      <c r="B90" s="114" t="str">
        <f t="shared" si="15"/>
        <v>Appliance Upgrades &amp; Lighting and Lighting ControlsSingle Family Home Detached</v>
      </c>
      <c r="C90" s="115" t="s">
        <v>206</v>
      </c>
      <c r="D90" s="116" t="s">
        <v>209</v>
      </c>
      <c r="E90" s="117">
        <v>0.11</v>
      </c>
      <c r="F90" s="117">
        <v>0.2</v>
      </c>
      <c r="G90" s="117">
        <v>0.01</v>
      </c>
      <c r="H90" s="117">
        <v>0.1</v>
      </c>
      <c r="I90" s="117">
        <f t="shared" si="16"/>
        <v>5.5E-2</v>
      </c>
      <c r="J90" s="188">
        <f>VLOOKUP(D90,'Existing Building EUI'!$B$7:$E$16,3,FALSE)</f>
        <v>203</v>
      </c>
      <c r="K90" s="188">
        <f>VLOOKUP(D90,'Existing Building EUI'!$B$7:$E$16,4,FALSE)</f>
        <v>38</v>
      </c>
      <c r="L90" s="189">
        <v>0</v>
      </c>
      <c r="M90" s="117">
        <v>0</v>
      </c>
      <c r="N90" s="183">
        <v>0.7</v>
      </c>
      <c r="O90" s="134">
        <v>0.8</v>
      </c>
      <c r="P90" s="117">
        <v>0</v>
      </c>
      <c r="Q90" s="117">
        <v>0</v>
      </c>
      <c r="R90" s="117">
        <v>0</v>
      </c>
      <c r="S90" s="117">
        <v>0</v>
      </c>
      <c r="T90" s="131">
        <f t="shared" si="23"/>
        <v>203</v>
      </c>
      <c r="U90" s="131">
        <f t="shared" si="17"/>
        <v>203</v>
      </c>
      <c r="V90" s="131">
        <f t="shared" si="22"/>
        <v>11.400000000000002</v>
      </c>
      <c r="W90" s="131">
        <f t="shared" si="18"/>
        <v>7.5999999999999979</v>
      </c>
      <c r="X90" s="131">
        <f t="shared" si="26"/>
        <v>0</v>
      </c>
      <c r="Y90" s="131">
        <f t="shared" si="19"/>
        <v>0</v>
      </c>
      <c r="Z90" s="183">
        <f t="shared" si="24"/>
        <v>0.11037344398340247</v>
      </c>
      <c r="AA90" s="134">
        <f t="shared" si="20"/>
        <v>0.1261410788381743</v>
      </c>
      <c r="AB90" s="190">
        <v>0</v>
      </c>
      <c r="AC90" s="190">
        <v>0</v>
      </c>
    </row>
    <row r="91" spans="2:29" s="187" customFormat="1" ht="28" hidden="1" x14ac:dyDescent="0.35">
      <c r="B91" s="114" t="str">
        <f t="shared" si="15"/>
        <v>Renewables - Solar PVSingle Family Home Detached</v>
      </c>
      <c r="C91" s="115" t="s">
        <v>199</v>
      </c>
      <c r="D91" s="116" t="s">
        <v>209</v>
      </c>
      <c r="E91" s="117">
        <v>0.01</v>
      </c>
      <c r="F91" s="117">
        <v>0.1</v>
      </c>
      <c r="G91" s="117">
        <v>0.01</v>
      </c>
      <c r="H91" s="117">
        <v>0.05</v>
      </c>
      <c r="I91" s="117">
        <f t="shared" si="16"/>
        <v>3.0000000000000002E-2</v>
      </c>
      <c r="J91" s="188">
        <f>VLOOKUP(D91,'Existing Building EUI'!$B$7:$E$16,3,FALSE)</f>
        <v>203</v>
      </c>
      <c r="K91" s="188">
        <f>VLOOKUP(D91,'Existing Building EUI'!$B$7:$E$16,4,FALSE)</f>
        <v>38</v>
      </c>
      <c r="L91" s="189">
        <v>0</v>
      </c>
      <c r="M91" s="117">
        <v>0</v>
      </c>
      <c r="N91" s="183">
        <v>0.04</v>
      </c>
      <c r="O91" s="134">
        <v>0.5</v>
      </c>
      <c r="P91" s="117">
        <v>0</v>
      </c>
      <c r="Q91" s="117">
        <v>0</v>
      </c>
      <c r="R91" s="117">
        <v>0</v>
      </c>
      <c r="S91" s="117">
        <v>0</v>
      </c>
      <c r="T91" s="131">
        <f t="shared" si="23"/>
        <v>203</v>
      </c>
      <c r="U91" s="131">
        <f t="shared" si="17"/>
        <v>203</v>
      </c>
      <c r="V91" s="131">
        <f t="shared" si="22"/>
        <v>36.479999999999997</v>
      </c>
      <c r="W91" s="131">
        <f t="shared" si="18"/>
        <v>19</v>
      </c>
      <c r="X91" s="131">
        <f t="shared" si="26"/>
        <v>0</v>
      </c>
      <c r="Y91" s="131">
        <f t="shared" si="19"/>
        <v>0</v>
      </c>
      <c r="Z91" s="183">
        <f t="shared" si="24"/>
        <v>6.3070539419087558E-3</v>
      </c>
      <c r="AA91" s="134">
        <f t="shared" si="20"/>
        <v>7.8838174273858919E-2</v>
      </c>
      <c r="AB91" s="190">
        <v>26</v>
      </c>
      <c r="AC91" s="190">
        <v>50</v>
      </c>
    </row>
    <row r="92" spans="2:29" s="187" customFormat="1" ht="28" hidden="1" x14ac:dyDescent="0.35">
      <c r="B92" s="114" t="str">
        <f t="shared" si="15"/>
        <v>Renewables - Solar ThermalSingle Family Home Detached</v>
      </c>
      <c r="C92" s="115" t="s">
        <v>200</v>
      </c>
      <c r="D92" s="116" t="s">
        <v>209</v>
      </c>
      <c r="E92" s="117">
        <v>0.05</v>
      </c>
      <c r="F92" s="117">
        <v>0.15</v>
      </c>
      <c r="G92" s="117">
        <v>0.1</v>
      </c>
      <c r="H92" s="117">
        <v>0.2</v>
      </c>
      <c r="I92" s="117">
        <f t="shared" si="16"/>
        <v>0.15000000000000002</v>
      </c>
      <c r="J92" s="188">
        <f>VLOOKUP(D92,'Existing Building EUI'!$B$7:$E$16,3,FALSE)</f>
        <v>203</v>
      </c>
      <c r="K92" s="188">
        <f>VLOOKUP(D92,'Existing Building EUI'!$B$7:$E$16,4,FALSE)</f>
        <v>38</v>
      </c>
      <c r="L92" s="189">
        <v>0.06</v>
      </c>
      <c r="M92" s="117">
        <v>0.18</v>
      </c>
      <c r="N92" s="183">
        <v>0</v>
      </c>
      <c r="O92" s="134">
        <v>0</v>
      </c>
      <c r="P92" s="117">
        <v>0</v>
      </c>
      <c r="Q92" s="117">
        <v>0</v>
      </c>
      <c r="R92" s="117">
        <v>0</v>
      </c>
      <c r="S92" s="117">
        <v>0</v>
      </c>
      <c r="T92" s="131">
        <f t="shared" si="23"/>
        <v>190.82</v>
      </c>
      <c r="U92" s="131">
        <f t="shared" si="17"/>
        <v>166.46</v>
      </c>
      <c r="V92" s="131">
        <f t="shared" si="22"/>
        <v>38</v>
      </c>
      <c r="W92" s="131">
        <f t="shared" si="18"/>
        <v>38</v>
      </c>
      <c r="X92" s="131">
        <f t="shared" si="26"/>
        <v>0</v>
      </c>
      <c r="Y92" s="131">
        <f t="shared" si="19"/>
        <v>0</v>
      </c>
      <c r="Z92" s="183">
        <f t="shared" si="24"/>
        <v>5.0539419087136959E-2</v>
      </c>
      <c r="AA92" s="134">
        <f t="shared" si="20"/>
        <v>0.15161825726141076</v>
      </c>
      <c r="AB92" s="190">
        <v>26</v>
      </c>
      <c r="AC92" s="190">
        <v>50</v>
      </c>
    </row>
    <row r="95" spans="2:29" x14ac:dyDescent="0.3">
      <c r="E95" s="128"/>
    </row>
    <row r="96" spans="2:29" x14ac:dyDescent="0.3">
      <c r="E96" s="129"/>
      <c r="F96" s="128"/>
      <c r="M96" s="130"/>
      <c r="N96" s="182"/>
      <c r="O96" s="163"/>
      <c r="P96" s="163"/>
    </row>
    <row r="97" spans="5:18" x14ac:dyDescent="0.3">
      <c r="E97" s="128"/>
      <c r="F97" s="128"/>
      <c r="M97" s="130"/>
      <c r="N97" s="182"/>
      <c r="O97" s="163"/>
      <c r="P97" s="163"/>
      <c r="Q97" s="130"/>
      <c r="R97" s="130"/>
    </row>
    <row r="98" spans="5:18" x14ac:dyDescent="0.3">
      <c r="E98" s="128"/>
      <c r="M98" s="130"/>
      <c r="N98" s="182"/>
      <c r="O98" s="163"/>
      <c r="P98" s="163"/>
      <c r="Q98" s="130"/>
      <c r="R98" s="130"/>
    </row>
    <row r="99" spans="5:18" x14ac:dyDescent="0.3">
      <c r="E99" s="128"/>
    </row>
    <row r="100" spans="5:18" x14ac:dyDescent="0.3">
      <c r="E100" s="128"/>
      <c r="M100" s="130"/>
      <c r="N100" s="182"/>
      <c r="O100" s="163"/>
      <c r="P100" s="163"/>
    </row>
    <row r="101" spans="5:18" x14ac:dyDescent="0.3">
      <c r="E101" s="128"/>
    </row>
    <row r="102" spans="5:18" x14ac:dyDescent="0.3">
      <c r="M102" s="130"/>
      <c r="N102" s="182"/>
      <c r="O102" s="163"/>
      <c r="P102" s="163"/>
    </row>
  </sheetData>
  <autoFilter ref="A5:AC92" xr:uid="{ADCDC58A-DA58-4DC5-BD57-A70974A5D907}">
    <filterColumn colId="2">
      <filters>
        <filter val="Domestic Hot Water - Electric Water Heater"/>
        <filter val="Domestic Hot Water - Heat Pump and Electric Resistance Water Heaters"/>
      </filters>
    </filterColumn>
  </autoFilter>
  <conditionalFormatting sqref="Y7:AA7 S7:X9 E7:R50 Y8:Z9 AA8:AA92 S10:Z50 E51:Z92">
    <cfRule type="containsBlanks" dxfId="4" priority="4">
      <formula>LEN(TRIM(E7))=0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96E08-9BB6-487A-AEF1-4BF131EF76D8}">
  <sheetPr filterMode="1">
    <tabColor theme="9" tint="0.39997558519241921"/>
  </sheetPr>
  <dimension ref="A1:DF101"/>
  <sheetViews>
    <sheetView topLeftCell="A30" zoomScale="115" zoomScaleNormal="115" workbookViewId="0">
      <selection activeCell="L35" sqref="L35"/>
    </sheetView>
  </sheetViews>
  <sheetFormatPr defaultColWidth="9.1796875" defaultRowHeight="14" x14ac:dyDescent="0.3"/>
  <cols>
    <col min="1" max="1" width="12" style="104" customWidth="1"/>
    <col min="2" max="2" width="37.81640625" style="104" customWidth="1"/>
    <col min="3" max="3" width="28.7265625" style="104" customWidth="1"/>
    <col min="4" max="4" width="27.81640625" style="104" customWidth="1"/>
    <col min="5" max="6" width="6.54296875" style="104" hidden="1" customWidth="1"/>
    <col min="7" max="11" width="6.54296875" style="106" hidden="1" customWidth="1"/>
    <col min="12" max="12" width="12.26953125" style="181" customWidth="1"/>
    <col min="13" max="13" width="12.26953125" style="106" customWidth="1"/>
    <col min="14" max="14" width="12.26953125" style="181" customWidth="1"/>
    <col min="15" max="16" width="12.26953125" style="162" customWidth="1"/>
    <col min="17" max="19" width="12.26953125" style="106" customWidth="1"/>
    <col min="20" max="25" width="6.54296875" style="106" hidden="1" customWidth="1"/>
    <col min="26" max="26" width="12.453125" style="106" hidden="1" customWidth="1"/>
    <col min="27" max="27" width="15.81640625" style="106" hidden="1" customWidth="1"/>
    <col min="28" max="29" width="13.81640625" style="107" customWidth="1"/>
    <col min="30" max="16384" width="9.1796875" style="104"/>
  </cols>
  <sheetData>
    <row r="1" spans="1:110" x14ac:dyDescent="0.3">
      <c r="O1" s="181"/>
      <c r="P1" s="181"/>
    </row>
    <row r="2" spans="1:110" x14ac:dyDescent="0.3">
      <c r="B2" s="105" t="s">
        <v>188</v>
      </c>
      <c r="O2" s="181"/>
      <c r="P2" s="181"/>
    </row>
    <row r="3" spans="1:110" x14ac:dyDescent="0.3">
      <c r="M3" s="130"/>
      <c r="N3" s="182"/>
      <c r="O3" s="182"/>
      <c r="P3" s="182"/>
    </row>
    <row r="4" spans="1:110" ht="28.5" customHeight="1" x14ac:dyDescent="0.3">
      <c r="A4" s="185" t="s">
        <v>332</v>
      </c>
      <c r="B4" s="104" cm="1">
        <f t="array" ref="B4:DF4">COLUMN(B4:DF4)-1</f>
        <v>1</v>
      </c>
      <c r="C4" s="104">
        <v>2</v>
      </c>
      <c r="D4" s="104">
        <v>3</v>
      </c>
      <c r="E4" s="104">
        <v>4</v>
      </c>
      <c r="F4" s="104">
        <v>5</v>
      </c>
      <c r="G4" s="104">
        <v>6</v>
      </c>
      <c r="H4" s="104">
        <v>7</v>
      </c>
      <c r="I4" s="104">
        <v>8</v>
      </c>
      <c r="J4" s="104">
        <v>9</v>
      </c>
      <c r="K4" s="104">
        <v>10</v>
      </c>
      <c r="L4" s="104">
        <v>11</v>
      </c>
      <c r="M4" s="104">
        <v>12</v>
      </c>
      <c r="N4" s="104">
        <v>13</v>
      </c>
      <c r="O4" s="104">
        <v>14</v>
      </c>
      <c r="P4" s="104">
        <v>15</v>
      </c>
      <c r="Q4" s="104">
        <v>16</v>
      </c>
      <c r="R4" s="104">
        <v>17</v>
      </c>
      <c r="S4" s="104">
        <v>18</v>
      </c>
      <c r="T4" s="104">
        <v>19</v>
      </c>
      <c r="U4" s="104">
        <v>20</v>
      </c>
      <c r="V4" s="104">
        <v>21</v>
      </c>
      <c r="W4" s="104">
        <v>22</v>
      </c>
      <c r="X4" s="104">
        <v>23</v>
      </c>
      <c r="Y4" s="104">
        <v>24</v>
      </c>
      <c r="Z4" s="104">
        <v>25</v>
      </c>
      <c r="AA4" s="104">
        <v>26</v>
      </c>
      <c r="AB4" s="104">
        <v>27</v>
      </c>
      <c r="AC4" s="104">
        <v>28</v>
      </c>
      <c r="AD4" s="104">
        <v>29</v>
      </c>
      <c r="AE4" s="104">
        <v>30</v>
      </c>
      <c r="AF4" s="104">
        <v>31</v>
      </c>
      <c r="AG4" s="104">
        <v>32</v>
      </c>
      <c r="AH4" s="104">
        <v>33</v>
      </c>
      <c r="AI4" s="104">
        <v>34</v>
      </c>
      <c r="AJ4" s="104">
        <v>35</v>
      </c>
      <c r="AK4" s="104">
        <v>36</v>
      </c>
      <c r="AL4" s="104">
        <v>37</v>
      </c>
      <c r="AM4" s="104">
        <v>38</v>
      </c>
      <c r="AN4" s="104">
        <v>39</v>
      </c>
      <c r="AO4" s="104">
        <v>40</v>
      </c>
      <c r="AP4" s="104">
        <v>41</v>
      </c>
      <c r="AQ4" s="104">
        <v>42</v>
      </c>
      <c r="AR4" s="104">
        <v>43</v>
      </c>
      <c r="AS4" s="104">
        <v>44</v>
      </c>
      <c r="AT4" s="104">
        <v>45</v>
      </c>
      <c r="AU4" s="104">
        <v>46</v>
      </c>
      <c r="AV4" s="104">
        <v>47</v>
      </c>
      <c r="AW4" s="104">
        <v>48</v>
      </c>
      <c r="AX4" s="104">
        <v>49</v>
      </c>
      <c r="AY4" s="104">
        <v>50</v>
      </c>
      <c r="AZ4" s="104">
        <v>51</v>
      </c>
      <c r="BA4" s="104">
        <v>52</v>
      </c>
      <c r="BB4" s="104">
        <v>53</v>
      </c>
      <c r="BC4" s="104">
        <v>54</v>
      </c>
      <c r="BD4" s="104">
        <v>55</v>
      </c>
      <c r="BE4" s="104">
        <v>56</v>
      </c>
      <c r="BF4" s="104">
        <v>57</v>
      </c>
      <c r="BG4" s="104">
        <v>58</v>
      </c>
      <c r="BH4" s="104">
        <v>59</v>
      </c>
      <c r="BI4" s="104">
        <v>60</v>
      </c>
      <c r="BJ4" s="104">
        <v>61</v>
      </c>
      <c r="BK4" s="104">
        <v>62</v>
      </c>
      <c r="BL4" s="104">
        <v>63</v>
      </c>
      <c r="BM4" s="104">
        <v>64</v>
      </c>
      <c r="BN4" s="104">
        <v>65</v>
      </c>
      <c r="BO4" s="104">
        <v>66</v>
      </c>
      <c r="BP4" s="104">
        <v>67</v>
      </c>
      <c r="BQ4" s="104">
        <v>68</v>
      </c>
      <c r="BR4" s="104">
        <v>69</v>
      </c>
      <c r="BS4" s="104">
        <v>70</v>
      </c>
      <c r="BT4" s="104">
        <v>71</v>
      </c>
      <c r="BU4" s="104">
        <v>72</v>
      </c>
      <c r="BV4" s="104">
        <v>73</v>
      </c>
      <c r="BW4" s="104">
        <v>74</v>
      </c>
      <c r="BX4" s="104">
        <v>75</v>
      </c>
      <c r="BY4" s="104">
        <v>76</v>
      </c>
      <c r="BZ4" s="104">
        <v>77</v>
      </c>
      <c r="CA4" s="104">
        <v>78</v>
      </c>
      <c r="CB4" s="104">
        <v>79</v>
      </c>
      <c r="CC4" s="104">
        <v>80</v>
      </c>
      <c r="CD4" s="104">
        <v>81</v>
      </c>
      <c r="CE4" s="104">
        <v>82</v>
      </c>
      <c r="CF4" s="104">
        <v>83</v>
      </c>
      <c r="CG4" s="104">
        <v>84</v>
      </c>
      <c r="CH4" s="104">
        <v>85</v>
      </c>
      <c r="CI4" s="104">
        <v>86</v>
      </c>
      <c r="CJ4" s="104">
        <v>87</v>
      </c>
      <c r="CK4" s="104">
        <v>88</v>
      </c>
      <c r="CL4" s="104">
        <v>89</v>
      </c>
      <c r="CM4" s="104">
        <v>90</v>
      </c>
      <c r="CN4" s="104">
        <v>91</v>
      </c>
      <c r="CO4" s="104">
        <v>92</v>
      </c>
      <c r="CP4" s="104">
        <v>93</v>
      </c>
      <c r="CQ4" s="104">
        <v>94</v>
      </c>
      <c r="CR4" s="104">
        <v>95</v>
      </c>
      <c r="CS4" s="104">
        <v>96</v>
      </c>
      <c r="CT4" s="104">
        <v>97</v>
      </c>
      <c r="CU4" s="104">
        <v>98</v>
      </c>
      <c r="CV4" s="104">
        <v>99</v>
      </c>
      <c r="CW4" s="104">
        <v>100</v>
      </c>
      <c r="CX4" s="104">
        <v>101</v>
      </c>
      <c r="CY4" s="104">
        <v>102</v>
      </c>
      <c r="CZ4" s="104">
        <v>103</v>
      </c>
      <c r="DA4" s="104">
        <v>104</v>
      </c>
      <c r="DB4" s="104">
        <v>105</v>
      </c>
      <c r="DC4" s="104">
        <v>106</v>
      </c>
      <c r="DD4" s="104">
        <v>107</v>
      </c>
      <c r="DE4" s="104">
        <v>108</v>
      </c>
      <c r="DF4" s="104">
        <v>109</v>
      </c>
    </row>
    <row r="5" spans="1:110" ht="58" x14ac:dyDescent="0.3">
      <c r="B5" s="108" t="s">
        <v>189</v>
      </c>
      <c r="C5" s="108" t="s">
        <v>87</v>
      </c>
      <c r="D5" s="108" t="s">
        <v>32</v>
      </c>
      <c r="E5" s="108" t="s">
        <v>190</v>
      </c>
      <c r="F5" s="108" t="s">
        <v>191</v>
      </c>
      <c r="G5" s="109" t="s">
        <v>162</v>
      </c>
      <c r="H5" s="109" t="s">
        <v>163</v>
      </c>
      <c r="I5" s="109" t="s">
        <v>192</v>
      </c>
      <c r="J5" s="109" t="s">
        <v>242</v>
      </c>
      <c r="K5" s="109" t="s">
        <v>243</v>
      </c>
      <c r="L5" s="109" t="s">
        <v>279</v>
      </c>
      <c r="M5" s="109" t="s">
        <v>277</v>
      </c>
      <c r="N5" s="109" t="s">
        <v>280</v>
      </c>
      <c r="O5" s="109" t="s">
        <v>278</v>
      </c>
      <c r="P5" s="109" t="s">
        <v>285</v>
      </c>
      <c r="Q5" s="109" t="s">
        <v>286</v>
      </c>
      <c r="R5" s="109" t="s">
        <v>281</v>
      </c>
      <c r="S5" s="109" t="s">
        <v>282</v>
      </c>
      <c r="T5" s="109" t="s">
        <v>250</v>
      </c>
      <c r="U5" s="109" t="s">
        <v>247</v>
      </c>
      <c r="V5" s="109" t="s">
        <v>248</v>
      </c>
      <c r="W5" s="109" t="s">
        <v>249</v>
      </c>
      <c r="X5" s="109" t="s">
        <v>251</v>
      </c>
      <c r="Y5" s="109" t="s">
        <v>252</v>
      </c>
      <c r="Z5" s="109" t="s">
        <v>276</v>
      </c>
      <c r="AA5" s="109" t="s">
        <v>275</v>
      </c>
      <c r="AB5" s="110" t="s">
        <v>301</v>
      </c>
      <c r="AC5" s="110" t="s">
        <v>302</v>
      </c>
    </row>
    <row r="6" spans="1:110" s="113" customFormat="1" ht="28" hidden="1" x14ac:dyDescent="0.3">
      <c r="A6" s="187"/>
      <c r="B6" s="114" t="str">
        <f t="shared" ref="B6:B37" si="0">C6&amp;D6</f>
        <v>Appliance Upgrades &amp; Lighting and Lighting ControlsCondominium</v>
      </c>
      <c r="C6" s="193" t="s">
        <v>206</v>
      </c>
      <c r="D6" s="194" t="s">
        <v>161</v>
      </c>
      <c r="E6" s="117">
        <v>0.11</v>
      </c>
      <c r="F6" s="117">
        <v>0.2</v>
      </c>
      <c r="G6" s="117">
        <v>0.01</v>
      </c>
      <c r="H6" s="117">
        <v>0.1</v>
      </c>
      <c r="I6" s="117">
        <f t="shared" ref="I6:I37" si="1">AVERAGE(G6:H6)</f>
        <v>5.5E-2</v>
      </c>
      <c r="J6" s="188">
        <f>VLOOKUP(D6,'Existing Building EUI'!$B$7:$E$16,3,FALSE)</f>
        <v>215</v>
      </c>
      <c r="K6" s="188">
        <f>VLOOKUP(D6,'Existing Building EUI'!$B$7:$E$16,4,FALSE)</f>
        <v>93</v>
      </c>
      <c r="L6" s="189">
        <v>0</v>
      </c>
      <c r="M6" s="117">
        <v>0</v>
      </c>
      <c r="N6" s="183">
        <v>0.35</v>
      </c>
      <c r="O6" s="134">
        <v>0.5</v>
      </c>
      <c r="P6" s="189">
        <v>0</v>
      </c>
      <c r="Q6" s="117">
        <v>0</v>
      </c>
      <c r="R6" s="117">
        <v>0</v>
      </c>
      <c r="S6" s="117">
        <v>0</v>
      </c>
      <c r="T6" s="131">
        <f t="shared" ref="T6:T12" si="2">J6-(J6*L6)</f>
        <v>215</v>
      </c>
      <c r="U6" s="131">
        <f t="shared" ref="U6:U12" si="3">J6-(J6*M6)</f>
        <v>215</v>
      </c>
      <c r="V6" s="131">
        <f t="shared" ref="V6:V37" si="4">K6-((K6*N6)+(J6*R6))</f>
        <v>60.45</v>
      </c>
      <c r="W6" s="131">
        <f t="shared" ref="W6:W37" si="5">K6-((K6*O6)+(J6*S6))</f>
        <v>46.5</v>
      </c>
      <c r="X6" s="131">
        <f t="shared" ref="X6:X37" si="6">(P6*J6)*-1</f>
        <v>0</v>
      </c>
      <c r="Y6" s="131">
        <f t="shared" ref="Y6:Y51" si="7">Q6*J6</f>
        <v>0</v>
      </c>
      <c r="Z6" s="183">
        <f t="shared" ref="Z6:Z37" si="8">(SUM(T6,V6,X6)-SUM(J6:K6))/SUM(J6:K6)*-1</f>
        <v>0.10568181818181822</v>
      </c>
      <c r="AA6" s="134">
        <f t="shared" ref="AA6:AA37" si="9">(SUM(U6,W6,Y6)-SUM(J6:K6))/SUM(J6:K6)*-1</f>
        <v>0.15097402597402598</v>
      </c>
      <c r="AB6" s="190">
        <v>0</v>
      </c>
      <c r="AC6" s="190">
        <v>0</v>
      </c>
      <c r="AD6" s="104"/>
      <c r="AE6" s="104"/>
      <c r="AF6" s="104"/>
      <c r="AG6" s="104"/>
      <c r="AH6" s="104"/>
      <c r="AI6" s="104"/>
      <c r="AJ6" s="104"/>
      <c r="AK6" s="104"/>
      <c r="AL6" s="104"/>
      <c r="AM6" s="104"/>
      <c r="AN6" s="104"/>
      <c r="AO6" s="104"/>
      <c r="AP6" s="104"/>
      <c r="AQ6" s="104"/>
      <c r="AR6" s="104"/>
      <c r="AS6" s="104"/>
      <c r="AT6" s="104"/>
      <c r="AU6" s="104"/>
      <c r="AV6" s="104"/>
      <c r="AW6" s="104"/>
      <c r="AX6" s="104"/>
      <c r="AY6" s="104"/>
      <c r="AZ6" s="104"/>
      <c r="BA6" s="104"/>
      <c r="BB6" s="104"/>
      <c r="BC6" s="104"/>
      <c r="BD6" s="104"/>
      <c r="BE6" s="104"/>
      <c r="BF6" s="104"/>
      <c r="BG6" s="104"/>
      <c r="BH6" s="104"/>
      <c r="BI6" s="104"/>
      <c r="BJ6" s="104"/>
      <c r="BK6" s="104"/>
      <c r="BL6" s="104"/>
      <c r="BM6" s="104"/>
      <c r="BN6" s="104"/>
      <c r="BO6" s="104"/>
      <c r="BP6" s="104"/>
      <c r="BQ6" s="104"/>
      <c r="BR6" s="104"/>
      <c r="BS6" s="104"/>
      <c r="BT6" s="104"/>
      <c r="BU6" s="104"/>
      <c r="BV6" s="104"/>
      <c r="BW6" s="104"/>
      <c r="BX6" s="104"/>
      <c r="BY6" s="104"/>
      <c r="BZ6" s="104"/>
      <c r="CA6" s="104"/>
      <c r="CB6" s="104"/>
      <c r="CC6" s="104"/>
      <c r="CD6" s="104"/>
      <c r="CE6" s="104"/>
      <c r="CF6" s="104"/>
      <c r="CG6" s="104"/>
      <c r="CH6" s="104"/>
      <c r="CI6" s="104"/>
      <c r="CJ6" s="104"/>
      <c r="CK6" s="104"/>
      <c r="CL6" s="104"/>
      <c r="CM6" s="104"/>
      <c r="CN6" s="104"/>
      <c r="CO6" s="104"/>
      <c r="CP6" s="104"/>
      <c r="CQ6" s="104"/>
      <c r="CR6" s="104"/>
      <c r="CS6" s="104"/>
      <c r="CT6" s="104"/>
      <c r="CU6" s="104"/>
      <c r="CV6" s="104"/>
      <c r="CW6" s="104"/>
      <c r="CX6" s="104"/>
      <c r="CY6" s="104"/>
      <c r="CZ6" s="104"/>
      <c r="DA6" s="104"/>
      <c r="DB6" s="104"/>
    </row>
    <row r="7" spans="1:110" s="187" customFormat="1" ht="57" hidden="1" customHeight="1" x14ac:dyDescent="0.35">
      <c r="B7" s="114" t="str">
        <f t="shared" si="0"/>
        <v>Appliance Upgrades &amp; Lighting and Lighting ControlsLow Rise Rental Apartment</v>
      </c>
      <c r="C7" s="193" t="s">
        <v>206</v>
      </c>
      <c r="D7" s="194" t="s">
        <v>183</v>
      </c>
      <c r="E7" s="117">
        <v>0.11</v>
      </c>
      <c r="F7" s="117">
        <v>0.2</v>
      </c>
      <c r="G7" s="117">
        <v>0.01</v>
      </c>
      <c r="H7" s="117">
        <v>0.1</v>
      </c>
      <c r="I7" s="117">
        <f t="shared" si="1"/>
        <v>5.5E-2</v>
      </c>
      <c r="J7" s="188">
        <f>VLOOKUP(D7,'Existing Building EUI'!$B$7:$E$16,3,FALSE)</f>
        <v>234</v>
      </c>
      <c r="K7" s="188">
        <f>VLOOKUP(D7,'Existing Building EUI'!$B$7:$E$16,4,FALSE)</f>
        <v>107</v>
      </c>
      <c r="L7" s="189">
        <v>0</v>
      </c>
      <c r="M7" s="117">
        <v>0</v>
      </c>
      <c r="N7" s="183">
        <v>0.35</v>
      </c>
      <c r="O7" s="134">
        <v>0.5</v>
      </c>
      <c r="P7" s="189">
        <v>0</v>
      </c>
      <c r="Q7" s="117">
        <v>0</v>
      </c>
      <c r="R7" s="117">
        <v>0</v>
      </c>
      <c r="S7" s="117">
        <v>0</v>
      </c>
      <c r="T7" s="131">
        <f t="shared" si="2"/>
        <v>234</v>
      </c>
      <c r="U7" s="131">
        <f t="shared" si="3"/>
        <v>234</v>
      </c>
      <c r="V7" s="131">
        <f t="shared" si="4"/>
        <v>69.550000000000011</v>
      </c>
      <c r="W7" s="131">
        <f t="shared" si="5"/>
        <v>53.5</v>
      </c>
      <c r="X7" s="131">
        <f t="shared" si="6"/>
        <v>0</v>
      </c>
      <c r="Y7" s="131">
        <f t="shared" si="7"/>
        <v>0</v>
      </c>
      <c r="Z7" s="183">
        <f t="shared" si="8"/>
        <v>0.10982404692082108</v>
      </c>
      <c r="AA7" s="134">
        <f t="shared" si="9"/>
        <v>0.15689149560117302</v>
      </c>
      <c r="AB7" s="190">
        <v>0</v>
      </c>
      <c r="AC7" s="190">
        <v>0</v>
      </c>
      <c r="AD7" s="191"/>
    </row>
    <row r="8" spans="1:110" s="187" customFormat="1" ht="57" hidden="1" customHeight="1" x14ac:dyDescent="0.35">
      <c r="B8" s="114" t="str">
        <f t="shared" si="0"/>
        <v>Appliance Upgrades &amp; Lighting and Lighting ControlsSingle Family Home Attached</v>
      </c>
      <c r="C8" s="193" t="s">
        <v>206</v>
      </c>
      <c r="D8" s="194" t="s">
        <v>182</v>
      </c>
      <c r="E8" s="117">
        <v>0.11</v>
      </c>
      <c r="F8" s="117">
        <v>0.2</v>
      </c>
      <c r="G8" s="117">
        <v>0.01</v>
      </c>
      <c r="H8" s="117">
        <v>0.1</v>
      </c>
      <c r="I8" s="117">
        <f t="shared" si="1"/>
        <v>5.5E-2</v>
      </c>
      <c r="J8" s="188">
        <f>VLOOKUP(D8,'Existing Building EUI'!$B$7:$E$16,3,FALSE)</f>
        <v>147</v>
      </c>
      <c r="K8" s="188">
        <f>VLOOKUP(D8,'Existing Building EUI'!$B$7:$E$16,4,FALSE)</f>
        <v>43</v>
      </c>
      <c r="L8" s="189">
        <v>0</v>
      </c>
      <c r="M8" s="117">
        <v>0</v>
      </c>
      <c r="N8" s="183">
        <v>0.5</v>
      </c>
      <c r="O8" s="134">
        <v>0.7</v>
      </c>
      <c r="P8" s="189">
        <v>0</v>
      </c>
      <c r="Q8" s="117">
        <v>0</v>
      </c>
      <c r="R8" s="117">
        <v>0</v>
      </c>
      <c r="S8" s="117">
        <v>0</v>
      </c>
      <c r="T8" s="131">
        <f t="shared" si="2"/>
        <v>147</v>
      </c>
      <c r="U8" s="131">
        <f t="shared" si="3"/>
        <v>147</v>
      </c>
      <c r="V8" s="131">
        <f t="shared" si="4"/>
        <v>21.5</v>
      </c>
      <c r="W8" s="131">
        <f t="shared" si="5"/>
        <v>12.900000000000002</v>
      </c>
      <c r="X8" s="131">
        <f t="shared" si="6"/>
        <v>0</v>
      </c>
      <c r="Y8" s="131">
        <f t="shared" si="7"/>
        <v>0</v>
      </c>
      <c r="Z8" s="183">
        <f t="shared" si="8"/>
        <v>0.11315789473684211</v>
      </c>
      <c r="AA8" s="134">
        <f t="shared" si="9"/>
        <v>0.15842105263157891</v>
      </c>
      <c r="AB8" s="190">
        <v>0</v>
      </c>
      <c r="AC8" s="190">
        <v>0</v>
      </c>
      <c r="AD8" s="191"/>
    </row>
    <row r="9" spans="1:110" s="187" customFormat="1" ht="57" hidden="1" customHeight="1" x14ac:dyDescent="0.35">
      <c r="B9" s="114" t="str">
        <f t="shared" si="0"/>
        <v>Appliance Upgrades &amp; Lighting and Lighting ControlsSingle Family Home Detached</v>
      </c>
      <c r="C9" s="193" t="s">
        <v>206</v>
      </c>
      <c r="D9" s="194" t="s">
        <v>209</v>
      </c>
      <c r="E9" s="117">
        <v>0.11</v>
      </c>
      <c r="F9" s="117">
        <v>0.2</v>
      </c>
      <c r="G9" s="117">
        <v>0.01</v>
      </c>
      <c r="H9" s="117">
        <v>0.1</v>
      </c>
      <c r="I9" s="117">
        <f t="shared" si="1"/>
        <v>5.5E-2</v>
      </c>
      <c r="J9" s="188">
        <f>VLOOKUP(D9,'Existing Building EUI'!$B$7:$E$16,3,FALSE)</f>
        <v>203</v>
      </c>
      <c r="K9" s="188">
        <f>VLOOKUP(D9,'Existing Building EUI'!$B$7:$E$16,4,FALSE)</f>
        <v>38</v>
      </c>
      <c r="L9" s="189">
        <v>0</v>
      </c>
      <c r="M9" s="117">
        <v>0</v>
      </c>
      <c r="N9" s="183">
        <v>0.7</v>
      </c>
      <c r="O9" s="134">
        <v>0.8</v>
      </c>
      <c r="P9" s="189">
        <v>0</v>
      </c>
      <c r="Q9" s="117">
        <v>0</v>
      </c>
      <c r="R9" s="117">
        <v>0</v>
      </c>
      <c r="S9" s="117">
        <v>0</v>
      </c>
      <c r="T9" s="131">
        <f t="shared" si="2"/>
        <v>203</v>
      </c>
      <c r="U9" s="131">
        <f t="shared" si="3"/>
        <v>203</v>
      </c>
      <c r="V9" s="131">
        <f t="shared" si="4"/>
        <v>11.400000000000002</v>
      </c>
      <c r="W9" s="131">
        <f t="shared" si="5"/>
        <v>7.5999999999999979</v>
      </c>
      <c r="X9" s="131">
        <f t="shared" si="6"/>
        <v>0</v>
      </c>
      <c r="Y9" s="131">
        <f t="shared" si="7"/>
        <v>0</v>
      </c>
      <c r="Z9" s="183">
        <f t="shared" si="8"/>
        <v>0.11037344398340247</v>
      </c>
      <c r="AA9" s="134">
        <f t="shared" si="9"/>
        <v>0.1261410788381743</v>
      </c>
      <c r="AB9" s="190">
        <v>0</v>
      </c>
      <c r="AC9" s="190">
        <v>0</v>
      </c>
    </row>
    <row r="10" spans="1:110" s="187" customFormat="1" ht="42.75" hidden="1" customHeight="1" x14ac:dyDescent="0.35">
      <c r="B10" s="114" t="str">
        <f t="shared" si="0"/>
        <v>Building Envelope - High Performance Envelope (Recladding, Air Sealing, New Insulation) Strip Mall</v>
      </c>
      <c r="C10" s="193" t="s">
        <v>204</v>
      </c>
      <c r="D10" s="194" t="s">
        <v>159</v>
      </c>
      <c r="E10" s="117">
        <v>0.21</v>
      </c>
      <c r="F10" s="117">
        <v>0.3</v>
      </c>
      <c r="G10" s="117">
        <v>0.21</v>
      </c>
      <c r="H10" s="117">
        <v>0.3</v>
      </c>
      <c r="I10" s="117">
        <f t="shared" si="1"/>
        <v>0.255</v>
      </c>
      <c r="J10" s="188">
        <f>VLOOKUP(D10,'Existing Building EUI'!$B$7:$E$16,3,FALSE)</f>
        <v>127</v>
      </c>
      <c r="K10" s="188">
        <f>VLOOKUP(D10,'Existing Building EUI'!$B$7:$E$16,4,FALSE)</f>
        <v>248</v>
      </c>
      <c r="L10" s="189">
        <v>0</v>
      </c>
      <c r="M10" s="117">
        <v>0</v>
      </c>
      <c r="N10" s="183">
        <v>0.18</v>
      </c>
      <c r="O10" s="134">
        <v>0.2</v>
      </c>
      <c r="P10" s="189">
        <v>0.25</v>
      </c>
      <c r="Q10" s="117">
        <v>0.35</v>
      </c>
      <c r="R10" s="117">
        <v>0</v>
      </c>
      <c r="S10" s="117">
        <v>0</v>
      </c>
      <c r="T10" s="131">
        <f t="shared" si="2"/>
        <v>127</v>
      </c>
      <c r="U10" s="131">
        <f t="shared" si="3"/>
        <v>127</v>
      </c>
      <c r="V10" s="131">
        <f t="shared" si="4"/>
        <v>203.36</v>
      </c>
      <c r="W10" s="131">
        <f t="shared" si="5"/>
        <v>198.4</v>
      </c>
      <c r="X10" s="131">
        <f t="shared" si="6"/>
        <v>-31.75</v>
      </c>
      <c r="Y10" s="131">
        <f t="shared" si="7"/>
        <v>44.449999999999996</v>
      </c>
      <c r="Z10" s="183">
        <f t="shared" si="8"/>
        <v>0.20370666666666662</v>
      </c>
      <c r="AA10" s="134">
        <f t="shared" si="9"/>
        <v>1.3733333333333424E-2</v>
      </c>
      <c r="AB10" s="190">
        <v>11</v>
      </c>
      <c r="AC10" s="190">
        <v>25</v>
      </c>
      <c r="AD10" s="191"/>
    </row>
    <row r="11" spans="1:110" s="187" customFormat="1" ht="56" hidden="1" x14ac:dyDescent="0.35">
      <c r="B11" s="114" t="str">
        <f t="shared" si="0"/>
        <v>Building Envelope - High Performance Envelope (Recladding, Air Sealing, New Insulation) Mixed Use</v>
      </c>
      <c r="C11" s="193" t="s">
        <v>204</v>
      </c>
      <c r="D11" s="194" t="s">
        <v>160</v>
      </c>
      <c r="E11" s="117">
        <v>0.11</v>
      </c>
      <c r="F11" s="117">
        <v>0.2</v>
      </c>
      <c r="G11" s="117">
        <v>0.11</v>
      </c>
      <c r="H11" s="117">
        <v>0.2</v>
      </c>
      <c r="I11" s="117">
        <f t="shared" si="1"/>
        <v>0.155</v>
      </c>
      <c r="J11" s="188">
        <f>VLOOKUP(D11,'Existing Building EUI'!$B$7:$E$16,3,FALSE)</f>
        <v>268</v>
      </c>
      <c r="K11" s="188">
        <f>VLOOKUP(D11,'Existing Building EUI'!$B$7:$E$16,4,FALSE)</f>
        <v>322</v>
      </c>
      <c r="L11" s="189">
        <v>0</v>
      </c>
      <c r="M11" s="117">
        <v>0</v>
      </c>
      <c r="N11" s="183">
        <v>0.08</v>
      </c>
      <c r="O11" s="134">
        <v>0.15</v>
      </c>
      <c r="P11" s="189">
        <v>0.14000000000000001</v>
      </c>
      <c r="Q11" s="117">
        <v>0.2</v>
      </c>
      <c r="R11" s="117">
        <v>0</v>
      </c>
      <c r="S11" s="117">
        <v>0</v>
      </c>
      <c r="T11" s="131">
        <f t="shared" si="2"/>
        <v>268</v>
      </c>
      <c r="U11" s="131">
        <f t="shared" si="3"/>
        <v>268</v>
      </c>
      <c r="V11" s="131">
        <f t="shared" si="4"/>
        <v>296.24</v>
      </c>
      <c r="W11" s="131">
        <f t="shared" si="5"/>
        <v>273.7</v>
      </c>
      <c r="X11" s="131">
        <f t="shared" si="6"/>
        <v>-37.520000000000003</v>
      </c>
      <c r="Y11" s="131">
        <f t="shared" si="7"/>
        <v>53.6</v>
      </c>
      <c r="Z11" s="183">
        <f t="shared" si="8"/>
        <v>0.10725423728813555</v>
      </c>
      <c r="AA11" s="134">
        <f t="shared" si="9"/>
        <v>-8.9830508474577422E-3</v>
      </c>
      <c r="AB11" s="190">
        <v>11</v>
      </c>
      <c r="AC11" s="190">
        <v>25</v>
      </c>
    </row>
    <row r="12" spans="1:110" s="187" customFormat="1" ht="56" hidden="1" x14ac:dyDescent="0.35">
      <c r="B12" s="114" t="str">
        <f t="shared" si="0"/>
        <v>Building Envelope - High Performance Envelope (Recladding, Air Sealing, New Insulation) Condominium</v>
      </c>
      <c r="C12" s="193" t="s">
        <v>204</v>
      </c>
      <c r="D12" s="194" t="s">
        <v>161</v>
      </c>
      <c r="E12" s="117">
        <v>0.11</v>
      </c>
      <c r="F12" s="117">
        <v>0.2</v>
      </c>
      <c r="G12" s="117">
        <v>0.11</v>
      </c>
      <c r="H12" s="117">
        <v>0.2</v>
      </c>
      <c r="I12" s="117">
        <f t="shared" si="1"/>
        <v>0.155</v>
      </c>
      <c r="J12" s="188">
        <f>VLOOKUP(D12,'Existing Building EUI'!$B$7:$E$16,3,FALSE)</f>
        <v>215</v>
      </c>
      <c r="K12" s="188">
        <f>VLOOKUP(D12,'Existing Building EUI'!$B$7:$E$16,4,FALSE)</f>
        <v>93</v>
      </c>
      <c r="L12" s="189">
        <v>0</v>
      </c>
      <c r="M12" s="117">
        <v>0</v>
      </c>
      <c r="N12" s="183">
        <v>0.08</v>
      </c>
      <c r="O12" s="134">
        <v>0.15</v>
      </c>
      <c r="P12" s="189">
        <v>0.12</v>
      </c>
      <c r="Q12" s="117">
        <v>0.2</v>
      </c>
      <c r="R12" s="117">
        <v>0</v>
      </c>
      <c r="S12" s="117">
        <v>0</v>
      </c>
      <c r="T12" s="131">
        <f t="shared" si="2"/>
        <v>215</v>
      </c>
      <c r="U12" s="131">
        <f t="shared" si="3"/>
        <v>215</v>
      </c>
      <c r="V12" s="131">
        <f t="shared" si="4"/>
        <v>85.56</v>
      </c>
      <c r="W12" s="131">
        <f t="shared" si="5"/>
        <v>79.05</v>
      </c>
      <c r="X12" s="131">
        <f t="shared" si="6"/>
        <v>-25.8</v>
      </c>
      <c r="Y12" s="131">
        <f t="shared" si="7"/>
        <v>43</v>
      </c>
      <c r="Z12" s="183">
        <f t="shared" si="8"/>
        <v>0.10792207792207795</v>
      </c>
      <c r="AA12" s="134">
        <f t="shared" si="9"/>
        <v>-9.4318181818181857E-2</v>
      </c>
      <c r="AB12" s="190">
        <v>11</v>
      </c>
      <c r="AC12" s="190">
        <v>25</v>
      </c>
    </row>
    <row r="13" spans="1:110" s="187" customFormat="1" ht="42" hidden="1" x14ac:dyDescent="0.35">
      <c r="B13" s="114" t="str">
        <f t="shared" si="0"/>
        <v>Building Envelope - High Performance Glazing with Enhanced Air SealingMid Rise Office</v>
      </c>
      <c r="C13" s="193" t="s">
        <v>195</v>
      </c>
      <c r="D13" s="194" t="s">
        <v>178</v>
      </c>
      <c r="E13" s="117">
        <v>0.01</v>
      </c>
      <c r="F13" s="117">
        <v>0.1</v>
      </c>
      <c r="G13" s="117">
        <v>0.01</v>
      </c>
      <c r="H13" s="117">
        <v>0.1</v>
      </c>
      <c r="I13" s="117">
        <f t="shared" si="1"/>
        <v>5.5E-2</v>
      </c>
      <c r="J13" s="188">
        <f>VLOOKUP(D13,'Existing Building EUI'!$B$7:$E$16,3,FALSE)</f>
        <v>270</v>
      </c>
      <c r="K13" s="188">
        <f>VLOOKUP(D13,'Existing Building EUI'!$B$7:$E$16,4,FALSE)</f>
        <v>219</v>
      </c>
      <c r="L13" s="189">
        <v>0</v>
      </c>
      <c r="M13" s="117">
        <v>0</v>
      </c>
      <c r="N13" s="189">
        <v>0.01</v>
      </c>
      <c r="O13" s="134">
        <v>0.08</v>
      </c>
      <c r="P13" s="189">
        <v>0.01</v>
      </c>
      <c r="Q13" s="117">
        <v>0.11</v>
      </c>
      <c r="R13" s="117">
        <v>0</v>
      </c>
      <c r="S13" s="117">
        <v>0</v>
      </c>
      <c r="T13" s="186">
        <f>L13</f>
        <v>0</v>
      </c>
      <c r="U13" s="186">
        <f>M13</f>
        <v>0</v>
      </c>
      <c r="V13" s="186">
        <f t="shared" si="4"/>
        <v>216.81</v>
      </c>
      <c r="W13" s="186">
        <f t="shared" si="5"/>
        <v>201.48</v>
      </c>
      <c r="X13" s="186">
        <f t="shared" si="6"/>
        <v>-2.7</v>
      </c>
      <c r="Y13" s="186">
        <f t="shared" si="7"/>
        <v>29.7</v>
      </c>
      <c r="Z13" s="183">
        <f t="shared" si="8"/>
        <v>0.56214723926380361</v>
      </c>
      <c r="AA13" s="134">
        <f t="shared" si="9"/>
        <v>0.52723926380368114</v>
      </c>
      <c r="AB13" s="190">
        <v>1</v>
      </c>
      <c r="AC13" s="190">
        <v>10</v>
      </c>
    </row>
    <row r="14" spans="1:110" s="187" customFormat="1" ht="42" hidden="1" x14ac:dyDescent="0.35">
      <c r="B14" s="114" t="str">
        <f t="shared" si="0"/>
        <v>Building Envelope - High Performance Glazing with Enhanced Air SealingEducational Facility</v>
      </c>
      <c r="C14" s="196" t="s">
        <v>195</v>
      </c>
      <c r="D14" s="194" t="s">
        <v>179</v>
      </c>
      <c r="E14" s="117">
        <v>0.01</v>
      </c>
      <c r="F14" s="117">
        <v>0.1</v>
      </c>
      <c r="G14" s="117">
        <v>0.01</v>
      </c>
      <c r="H14" s="117">
        <v>0.1</v>
      </c>
      <c r="I14" s="117">
        <f t="shared" si="1"/>
        <v>5.5E-2</v>
      </c>
      <c r="J14" s="188">
        <f>VLOOKUP(D14,'Existing Building EUI'!$B$7:$E$16,3,FALSE)</f>
        <v>201</v>
      </c>
      <c r="K14" s="188">
        <f>VLOOKUP(D14,'Existing Building EUI'!$B$7:$E$16,4,FALSE)</f>
        <v>284</v>
      </c>
      <c r="L14" s="189">
        <v>0</v>
      </c>
      <c r="M14" s="117">
        <v>0</v>
      </c>
      <c r="N14" s="189">
        <v>0.01</v>
      </c>
      <c r="O14" s="134">
        <v>0.08</v>
      </c>
      <c r="P14" s="189">
        <v>0.01</v>
      </c>
      <c r="Q14" s="117">
        <v>0.12</v>
      </c>
      <c r="R14" s="117">
        <v>0</v>
      </c>
      <c r="S14" s="117">
        <v>0</v>
      </c>
      <c r="T14" s="131">
        <f t="shared" ref="T14:T45" si="10">J14-(J14*L14)</f>
        <v>201</v>
      </c>
      <c r="U14" s="131">
        <f t="shared" ref="U14:U45" si="11">J14-(J14*M14)</f>
        <v>201</v>
      </c>
      <c r="V14" s="131">
        <f t="shared" si="4"/>
        <v>281.16000000000003</v>
      </c>
      <c r="W14" s="131">
        <f t="shared" si="5"/>
        <v>261.27999999999997</v>
      </c>
      <c r="X14" s="131">
        <f t="shared" si="6"/>
        <v>-2.0100000000000002</v>
      </c>
      <c r="Y14" s="131">
        <f t="shared" si="7"/>
        <v>24.119999999999997</v>
      </c>
      <c r="Z14" s="183">
        <f t="shared" si="8"/>
        <v>9.9999999999999291E-3</v>
      </c>
      <c r="AA14" s="134">
        <f t="shared" si="9"/>
        <v>-2.886597938144283E-3</v>
      </c>
      <c r="AB14" s="190">
        <v>1</v>
      </c>
      <c r="AC14" s="190">
        <v>10</v>
      </c>
    </row>
    <row r="15" spans="1:110" s="187" customFormat="1" ht="28.5" hidden="1" customHeight="1" x14ac:dyDescent="0.35">
      <c r="B15" s="114" t="str">
        <f t="shared" si="0"/>
        <v>Building Envelope - High Performance Glazing with Enhanced Air SealingBig Box Store</v>
      </c>
      <c r="C15" s="193" t="s">
        <v>195</v>
      </c>
      <c r="D15" s="194" t="s">
        <v>180</v>
      </c>
      <c r="E15" s="117">
        <v>0.11</v>
      </c>
      <c r="F15" s="117">
        <v>0.2</v>
      </c>
      <c r="G15" s="117">
        <v>0.21</v>
      </c>
      <c r="H15" s="117">
        <v>0.3</v>
      </c>
      <c r="I15" s="117">
        <f t="shared" si="1"/>
        <v>0.255</v>
      </c>
      <c r="J15" s="188">
        <f>VLOOKUP(D15,'Existing Building EUI'!$B$7:$E$16,3,FALSE)</f>
        <v>159</v>
      </c>
      <c r="K15" s="188">
        <f>VLOOKUP(D15,'Existing Building EUI'!$B$7:$E$16,4,FALSE)</f>
        <v>231</v>
      </c>
      <c r="L15" s="189">
        <v>0</v>
      </c>
      <c r="M15" s="117">
        <v>0</v>
      </c>
      <c r="N15" s="183">
        <v>0.08</v>
      </c>
      <c r="O15" s="134">
        <v>0.15</v>
      </c>
      <c r="P15" s="189">
        <v>0.15</v>
      </c>
      <c r="Q15" s="117">
        <v>0.2</v>
      </c>
      <c r="R15" s="117">
        <v>0</v>
      </c>
      <c r="S15" s="117">
        <v>0</v>
      </c>
      <c r="T15" s="131">
        <f t="shared" si="10"/>
        <v>159</v>
      </c>
      <c r="U15" s="131">
        <f t="shared" si="11"/>
        <v>159</v>
      </c>
      <c r="V15" s="131">
        <f t="shared" si="4"/>
        <v>212.52</v>
      </c>
      <c r="W15" s="131">
        <f t="shared" si="5"/>
        <v>196.35</v>
      </c>
      <c r="X15" s="131">
        <f t="shared" si="6"/>
        <v>-23.849999999999998</v>
      </c>
      <c r="Y15" s="131">
        <f t="shared" si="7"/>
        <v>31.8</v>
      </c>
      <c r="Z15" s="183">
        <f t="shared" si="8"/>
        <v>0.10853846153846164</v>
      </c>
      <c r="AA15" s="134">
        <f t="shared" si="9"/>
        <v>7.30769230769222E-3</v>
      </c>
      <c r="AB15" s="190">
        <v>1</v>
      </c>
      <c r="AC15" s="190">
        <v>10</v>
      </c>
    </row>
    <row r="16" spans="1:110" s="187" customFormat="1" ht="28.5" hidden="1" customHeight="1" x14ac:dyDescent="0.35">
      <c r="B16" s="114" t="str">
        <f t="shared" si="0"/>
        <v>Building Envelope - High Performance Glazing with Enhanced Air SealingLow Rise Office</v>
      </c>
      <c r="C16" s="193" t="s">
        <v>195</v>
      </c>
      <c r="D16" s="194" t="s">
        <v>181</v>
      </c>
      <c r="E16" s="117">
        <v>0.01</v>
      </c>
      <c r="F16" s="117">
        <v>0.1</v>
      </c>
      <c r="G16" s="117">
        <v>0.01</v>
      </c>
      <c r="H16" s="117">
        <v>0.1</v>
      </c>
      <c r="I16" s="117">
        <f t="shared" si="1"/>
        <v>5.5E-2</v>
      </c>
      <c r="J16" s="188">
        <f>VLOOKUP(D16,'Existing Building EUI'!$B$7:$E$16,3,FALSE)</f>
        <v>149</v>
      </c>
      <c r="K16" s="188">
        <f>VLOOKUP(D16,'Existing Building EUI'!$B$7:$E$16,4,FALSE)</f>
        <v>204</v>
      </c>
      <c r="L16" s="189">
        <v>0</v>
      </c>
      <c r="M16" s="117">
        <v>0</v>
      </c>
      <c r="N16" s="189">
        <v>0.01</v>
      </c>
      <c r="O16" s="134">
        <v>0.08</v>
      </c>
      <c r="P16" s="189">
        <v>0.01</v>
      </c>
      <c r="Q16" s="117">
        <v>0.12</v>
      </c>
      <c r="R16" s="117">
        <v>0</v>
      </c>
      <c r="S16" s="117">
        <v>0</v>
      </c>
      <c r="T16" s="131">
        <f t="shared" si="10"/>
        <v>149</v>
      </c>
      <c r="U16" s="131">
        <f t="shared" si="11"/>
        <v>149</v>
      </c>
      <c r="V16" s="131">
        <f t="shared" si="4"/>
        <v>201.96</v>
      </c>
      <c r="W16" s="131">
        <f t="shared" si="5"/>
        <v>187.68</v>
      </c>
      <c r="X16" s="131">
        <f t="shared" si="6"/>
        <v>-1.49</v>
      </c>
      <c r="Y16" s="131">
        <f t="shared" si="7"/>
        <v>17.88</v>
      </c>
      <c r="Z16" s="183">
        <f t="shared" si="8"/>
        <v>9.9999999999999221E-3</v>
      </c>
      <c r="AA16" s="134">
        <f t="shared" si="9"/>
        <v>-4.419263456090658E-3</v>
      </c>
      <c r="AB16" s="190">
        <v>1</v>
      </c>
      <c r="AC16" s="190">
        <v>10</v>
      </c>
    </row>
    <row r="17" spans="2:29" s="187" customFormat="1" ht="42.75" hidden="1" customHeight="1" x14ac:dyDescent="0.35">
      <c r="B17" s="114" t="str">
        <f t="shared" si="0"/>
        <v>Building Envelope - High Performance Glazing with Enhanced Air SealingStrip Mall</v>
      </c>
      <c r="C17" s="193" t="s">
        <v>195</v>
      </c>
      <c r="D17" s="194" t="s">
        <v>159</v>
      </c>
      <c r="E17" s="117">
        <v>0.11</v>
      </c>
      <c r="F17" s="117">
        <v>0.2</v>
      </c>
      <c r="G17" s="117">
        <v>0.21</v>
      </c>
      <c r="H17" s="117">
        <v>0.3</v>
      </c>
      <c r="I17" s="117">
        <f t="shared" si="1"/>
        <v>0.255</v>
      </c>
      <c r="J17" s="188">
        <f>VLOOKUP(D17,'Existing Building EUI'!$B$7:$E$16,3,FALSE)</f>
        <v>127</v>
      </c>
      <c r="K17" s="188">
        <f>VLOOKUP(D17,'Existing Building EUI'!$B$7:$E$16,4,FALSE)</f>
        <v>248</v>
      </c>
      <c r="L17" s="189">
        <v>0</v>
      </c>
      <c r="M17" s="117">
        <v>0</v>
      </c>
      <c r="N17" s="183">
        <v>0.08</v>
      </c>
      <c r="O17" s="134">
        <v>0.15</v>
      </c>
      <c r="P17" s="189">
        <v>0.17</v>
      </c>
      <c r="Q17" s="117">
        <v>0.2</v>
      </c>
      <c r="R17" s="117">
        <v>0</v>
      </c>
      <c r="S17" s="117">
        <v>0</v>
      </c>
      <c r="T17" s="131">
        <f t="shared" si="10"/>
        <v>127</v>
      </c>
      <c r="U17" s="131">
        <f t="shared" si="11"/>
        <v>127</v>
      </c>
      <c r="V17" s="131">
        <f t="shared" si="4"/>
        <v>228.16</v>
      </c>
      <c r="W17" s="131">
        <f t="shared" si="5"/>
        <v>210.8</v>
      </c>
      <c r="X17" s="131">
        <f t="shared" si="6"/>
        <v>-21.59</v>
      </c>
      <c r="Y17" s="131">
        <f t="shared" si="7"/>
        <v>25.400000000000002</v>
      </c>
      <c r="Z17" s="183">
        <f t="shared" si="8"/>
        <v>0.11048000000000002</v>
      </c>
      <c r="AA17" s="134">
        <f t="shared" si="9"/>
        <v>3.1466666666666698E-2</v>
      </c>
      <c r="AB17" s="190">
        <v>1</v>
      </c>
      <c r="AC17" s="190">
        <v>10</v>
      </c>
    </row>
    <row r="18" spans="2:29" s="187" customFormat="1" ht="42" hidden="1" x14ac:dyDescent="0.35">
      <c r="B18" s="114" t="str">
        <f t="shared" si="0"/>
        <v>Building Envelope - High Performance Glazing with Enhanced Air SealingMixed Use</v>
      </c>
      <c r="C18" s="193" t="s">
        <v>195</v>
      </c>
      <c r="D18" s="194" t="s">
        <v>160</v>
      </c>
      <c r="E18" s="117">
        <v>0.01</v>
      </c>
      <c r="F18" s="117">
        <v>0.1</v>
      </c>
      <c r="G18" s="117">
        <v>0.01</v>
      </c>
      <c r="H18" s="117">
        <v>0.1</v>
      </c>
      <c r="I18" s="117">
        <f t="shared" si="1"/>
        <v>5.5E-2</v>
      </c>
      <c r="J18" s="188">
        <f>VLOOKUP(D18,'Existing Building EUI'!$B$7:$E$16,3,FALSE)</f>
        <v>268</v>
      </c>
      <c r="K18" s="188">
        <f>VLOOKUP(D18,'Existing Building EUI'!$B$7:$E$16,4,FALSE)</f>
        <v>322</v>
      </c>
      <c r="L18" s="189">
        <v>0</v>
      </c>
      <c r="M18" s="117">
        <v>0</v>
      </c>
      <c r="N18" s="189">
        <v>0.01</v>
      </c>
      <c r="O18" s="134">
        <v>0.08</v>
      </c>
      <c r="P18" s="189">
        <v>0.01</v>
      </c>
      <c r="Q18" s="117">
        <v>0.12</v>
      </c>
      <c r="R18" s="117">
        <v>0</v>
      </c>
      <c r="S18" s="117">
        <v>0</v>
      </c>
      <c r="T18" s="131">
        <f t="shared" si="10"/>
        <v>268</v>
      </c>
      <c r="U18" s="131">
        <f t="shared" si="11"/>
        <v>268</v>
      </c>
      <c r="V18" s="131">
        <f t="shared" si="4"/>
        <v>318.77999999999997</v>
      </c>
      <c r="W18" s="131">
        <f t="shared" si="5"/>
        <v>296.24</v>
      </c>
      <c r="X18" s="131">
        <f t="shared" si="6"/>
        <v>-2.68</v>
      </c>
      <c r="Y18" s="131">
        <f t="shared" si="7"/>
        <v>32.159999999999997</v>
      </c>
      <c r="Z18" s="183">
        <f t="shared" si="8"/>
        <v>9.999999999999962E-3</v>
      </c>
      <c r="AA18" s="134">
        <f t="shared" si="9"/>
        <v>-1.0847457627118605E-2</v>
      </c>
      <c r="AB18" s="190">
        <v>1</v>
      </c>
      <c r="AC18" s="190">
        <v>10</v>
      </c>
    </row>
    <row r="19" spans="2:29" s="187" customFormat="1" ht="42" hidden="1" x14ac:dyDescent="0.35">
      <c r="B19" s="114" t="str">
        <f t="shared" si="0"/>
        <v>Building Envelope - High Performance Glazing with Enhanced Air SealingCondominium</v>
      </c>
      <c r="C19" s="193" t="s">
        <v>195</v>
      </c>
      <c r="D19" s="194" t="s">
        <v>161</v>
      </c>
      <c r="E19" s="117">
        <v>0.01</v>
      </c>
      <c r="F19" s="117">
        <v>0.1</v>
      </c>
      <c r="G19" s="117">
        <v>0.01</v>
      </c>
      <c r="H19" s="117">
        <v>0.1</v>
      </c>
      <c r="I19" s="117">
        <f t="shared" si="1"/>
        <v>5.5E-2</v>
      </c>
      <c r="J19" s="188">
        <f>VLOOKUP(D19,'Existing Building EUI'!$B$7:$E$16,3,FALSE)</f>
        <v>215</v>
      </c>
      <c r="K19" s="188">
        <f>VLOOKUP(D19,'Existing Building EUI'!$B$7:$E$16,4,FALSE)</f>
        <v>93</v>
      </c>
      <c r="L19" s="189">
        <v>0</v>
      </c>
      <c r="M19" s="117">
        <v>0</v>
      </c>
      <c r="N19" s="189">
        <v>0.01</v>
      </c>
      <c r="O19" s="134">
        <v>0.08</v>
      </c>
      <c r="P19" s="189">
        <v>0.01</v>
      </c>
      <c r="Q19" s="117">
        <v>0.11</v>
      </c>
      <c r="R19" s="117">
        <v>0</v>
      </c>
      <c r="S19" s="117">
        <v>0</v>
      </c>
      <c r="T19" s="131">
        <f t="shared" si="10"/>
        <v>215</v>
      </c>
      <c r="U19" s="131">
        <f t="shared" si="11"/>
        <v>215</v>
      </c>
      <c r="V19" s="131">
        <f t="shared" si="4"/>
        <v>92.07</v>
      </c>
      <c r="W19" s="131">
        <f t="shared" si="5"/>
        <v>85.56</v>
      </c>
      <c r="X19" s="131">
        <f t="shared" si="6"/>
        <v>-2.15</v>
      </c>
      <c r="Y19" s="131">
        <f t="shared" si="7"/>
        <v>23.65</v>
      </c>
      <c r="Z19" s="183">
        <f t="shared" si="8"/>
        <v>9.9999999999999482E-3</v>
      </c>
      <c r="AA19" s="134">
        <f t="shared" si="9"/>
        <v>-5.2629870129870061E-2</v>
      </c>
      <c r="AB19" s="190">
        <v>1</v>
      </c>
      <c r="AC19" s="190">
        <v>10</v>
      </c>
    </row>
    <row r="20" spans="2:29" s="187" customFormat="1" ht="42" hidden="1" x14ac:dyDescent="0.35">
      <c r="B20" s="114" t="str">
        <f t="shared" si="0"/>
        <v>Building Envelope - High Performance Glazing with Enhanced Air SealingLow Rise Rental Apartment</v>
      </c>
      <c r="C20" s="193" t="s">
        <v>195</v>
      </c>
      <c r="D20" s="194" t="s">
        <v>183</v>
      </c>
      <c r="E20" s="117">
        <v>0.01</v>
      </c>
      <c r="F20" s="117">
        <v>0.1</v>
      </c>
      <c r="G20" s="117">
        <v>0.01</v>
      </c>
      <c r="H20" s="117">
        <v>0.1</v>
      </c>
      <c r="I20" s="117">
        <f t="shared" si="1"/>
        <v>5.5E-2</v>
      </c>
      <c r="J20" s="188">
        <f>VLOOKUP(D20,'Existing Building EUI'!$B$7:$E$16,3,FALSE)</f>
        <v>234</v>
      </c>
      <c r="K20" s="188">
        <f>VLOOKUP(D20,'Existing Building EUI'!$B$7:$E$16,4,FALSE)</f>
        <v>107</v>
      </c>
      <c r="L20" s="189">
        <v>0</v>
      </c>
      <c r="M20" s="117">
        <v>0</v>
      </c>
      <c r="N20" s="189">
        <v>0.01</v>
      </c>
      <c r="O20" s="134">
        <v>0.08</v>
      </c>
      <c r="P20" s="189">
        <v>0.01</v>
      </c>
      <c r="Q20" s="117">
        <v>0.11</v>
      </c>
      <c r="R20" s="117">
        <v>0</v>
      </c>
      <c r="S20" s="117">
        <v>0</v>
      </c>
      <c r="T20" s="131">
        <f t="shared" si="10"/>
        <v>234</v>
      </c>
      <c r="U20" s="131">
        <f t="shared" si="11"/>
        <v>234</v>
      </c>
      <c r="V20" s="131">
        <f t="shared" si="4"/>
        <v>105.93</v>
      </c>
      <c r="W20" s="131">
        <f t="shared" si="5"/>
        <v>98.44</v>
      </c>
      <c r="X20" s="131">
        <f t="shared" si="6"/>
        <v>-2.34</v>
      </c>
      <c r="Y20" s="131">
        <f t="shared" si="7"/>
        <v>25.74</v>
      </c>
      <c r="Z20" s="183">
        <f t="shared" si="8"/>
        <v>9.9999999999999065E-3</v>
      </c>
      <c r="AA20" s="134">
        <f t="shared" si="9"/>
        <v>-5.0381231671554269E-2</v>
      </c>
      <c r="AB20" s="190">
        <v>1</v>
      </c>
      <c r="AC20" s="190">
        <v>10</v>
      </c>
    </row>
    <row r="21" spans="2:29" s="187" customFormat="1" ht="42" hidden="1" x14ac:dyDescent="0.35">
      <c r="B21" s="114" t="str">
        <f t="shared" si="0"/>
        <v>Building Envelope - High Performance Glazing with Enhanced Air SealingSingle Family Home Attached</v>
      </c>
      <c r="C21" s="193" t="s">
        <v>195</v>
      </c>
      <c r="D21" s="194" t="s">
        <v>182</v>
      </c>
      <c r="E21" s="117">
        <v>0.01</v>
      </c>
      <c r="F21" s="117">
        <v>0.1</v>
      </c>
      <c r="G21" s="117">
        <v>0.01</v>
      </c>
      <c r="H21" s="117">
        <v>0.1</v>
      </c>
      <c r="I21" s="117">
        <f t="shared" si="1"/>
        <v>5.5E-2</v>
      </c>
      <c r="J21" s="188">
        <f>VLOOKUP(D21,'Existing Building EUI'!$B$7:$E$16,3,FALSE)</f>
        <v>147</v>
      </c>
      <c r="K21" s="188">
        <f>VLOOKUP(D21,'Existing Building EUI'!$B$7:$E$16,4,FALSE)</f>
        <v>43</v>
      </c>
      <c r="L21" s="189">
        <v>0</v>
      </c>
      <c r="M21" s="117">
        <v>0</v>
      </c>
      <c r="N21" s="189">
        <v>0.01</v>
      </c>
      <c r="O21" s="134">
        <v>0.08</v>
      </c>
      <c r="P21" s="189">
        <v>0.01</v>
      </c>
      <c r="Q21" s="117">
        <v>0.11</v>
      </c>
      <c r="R21" s="117">
        <v>0</v>
      </c>
      <c r="S21" s="117">
        <v>0</v>
      </c>
      <c r="T21" s="131">
        <f t="shared" si="10"/>
        <v>147</v>
      </c>
      <c r="U21" s="131">
        <f t="shared" si="11"/>
        <v>147</v>
      </c>
      <c r="V21" s="131">
        <f t="shared" si="4"/>
        <v>42.57</v>
      </c>
      <c r="W21" s="131">
        <f t="shared" si="5"/>
        <v>39.56</v>
      </c>
      <c r="X21" s="131">
        <f t="shared" si="6"/>
        <v>-1.47</v>
      </c>
      <c r="Y21" s="131">
        <f t="shared" si="7"/>
        <v>16.170000000000002</v>
      </c>
      <c r="Z21" s="183">
        <f t="shared" si="8"/>
        <v>1.000000000000003E-2</v>
      </c>
      <c r="AA21" s="134">
        <f t="shared" si="9"/>
        <v>-6.7000000000000101E-2</v>
      </c>
      <c r="AB21" s="190">
        <v>1</v>
      </c>
      <c r="AC21" s="190">
        <v>10</v>
      </c>
    </row>
    <row r="22" spans="2:29" s="187" customFormat="1" ht="42" hidden="1" x14ac:dyDescent="0.35">
      <c r="B22" s="114" t="str">
        <f t="shared" si="0"/>
        <v>Building Envelope - High Performance Glazing with Enhanced Air SealingSingle Family Home Detached</v>
      </c>
      <c r="C22" s="193" t="s">
        <v>195</v>
      </c>
      <c r="D22" s="194" t="s">
        <v>209</v>
      </c>
      <c r="E22" s="117">
        <v>0.01</v>
      </c>
      <c r="F22" s="117">
        <v>0.1</v>
      </c>
      <c r="G22" s="117">
        <v>0.01</v>
      </c>
      <c r="H22" s="117">
        <v>0.1</v>
      </c>
      <c r="I22" s="117">
        <f t="shared" si="1"/>
        <v>5.5E-2</v>
      </c>
      <c r="J22" s="188">
        <f>VLOOKUP(D22,'Existing Building EUI'!$B$7:$E$16,3,FALSE)</f>
        <v>203</v>
      </c>
      <c r="K22" s="188">
        <f>VLOOKUP(D22,'Existing Building EUI'!$B$7:$E$16,4,FALSE)</f>
        <v>38</v>
      </c>
      <c r="L22" s="189">
        <v>0</v>
      </c>
      <c r="M22" s="117">
        <v>0</v>
      </c>
      <c r="N22" s="189">
        <v>0.01</v>
      </c>
      <c r="O22" s="134">
        <v>7.0000000000000007E-2</v>
      </c>
      <c r="P22" s="189">
        <v>0.01</v>
      </c>
      <c r="Q22" s="117">
        <v>0.11</v>
      </c>
      <c r="R22" s="117">
        <v>0</v>
      </c>
      <c r="S22" s="117">
        <v>0</v>
      </c>
      <c r="T22" s="131">
        <f t="shared" si="10"/>
        <v>203</v>
      </c>
      <c r="U22" s="131">
        <f t="shared" si="11"/>
        <v>203</v>
      </c>
      <c r="V22" s="131">
        <f t="shared" si="4"/>
        <v>37.619999999999997</v>
      </c>
      <c r="W22" s="131">
        <f t="shared" si="5"/>
        <v>35.340000000000003</v>
      </c>
      <c r="X22" s="131">
        <f t="shared" si="6"/>
        <v>-2.0300000000000002</v>
      </c>
      <c r="Y22" s="131">
        <f t="shared" si="7"/>
        <v>22.330000000000002</v>
      </c>
      <c r="Z22" s="183">
        <f t="shared" si="8"/>
        <v>9.9999999999999863E-3</v>
      </c>
      <c r="AA22" s="134">
        <f t="shared" si="9"/>
        <v>-8.1618257261410851E-2</v>
      </c>
      <c r="AB22" s="190">
        <v>1</v>
      </c>
      <c r="AC22" s="190">
        <v>10</v>
      </c>
    </row>
    <row r="23" spans="2:29" s="187" customFormat="1" ht="42" hidden="1" x14ac:dyDescent="0.35">
      <c r="B23" s="114" t="str">
        <f t="shared" si="0"/>
        <v>Building Envelope - High Performance Glazing, Wall Insulation, &amp; Roof InsulationMid Rise Office</v>
      </c>
      <c r="C23" s="193" t="s">
        <v>196</v>
      </c>
      <c r="D23" s="194" t="s">
        <v>178</v>
      </c>
      <c r="E23" s="117">
        <v>0.11</v>
      </c>
      <c r="F23" s="117">
        <v>0.2</v>
      </c>
      <c r="G23" s="117">
        <v>0.01</v>
      </c>
      <c r="H23" s="117">
        <v>0.1</v>
      </c>
      <c r="I23" s="117">
        <f t="shared" si="1"/>
        <v>5.5E-2</v>
      </c>
      <c r="J23" s="188">
        <f>VLOOKUP(D23,'Existing Building EUI'!$B$7:$E$16,3,FALSE)</f>
        <v>270</v>
      </c>
      <c r="K23" s="188">
        <f>VLOOKUP(D23,'Existing Building EUI'!$B$7:$E$16,4,FALSE)</f>
        <v>219</v>
      </c>
      <c r="L23" s="189">
        <v>0</v>
      </c>
      <c r="M23" s="117">
        <v>0</v>
      </c>
      <c r="N23" s="183">
        <v>0.08</v>
      </c>
      <c r="O23" s="134">
        <v>0.15</v>
      </c>
      <c r="P23" s="189">
        <v>0.14000000000000001</v>
      </c>
      <c r="Q23" s="117">
        <v>0.2</v>
      </c>
      <c r="R23" s="117">
        <v>0</v>
      </c>
      <c r="S23" s="117">
        <v>0</v>
      </c>
      <c r="T23" s="131">
        <f t="shared" si="10"/>
        <v>270</v>
      </c>
      <c r="U23" s="131">
        <f t="shared" si="11"/>
        <v>270</v>
      </c>
      <c r="V23" s="131">
        <f t="shared" si="4"/>
        <v>201.48</v>
      </c>
      <c r="W23" s="131">
        <f t="shared" si="5"/>
        <v>186.15</v>
      </c>
      <c r="X23" s="131">
        <f t="shared" si="6"/>
        <v>-37.800000000000004</v>
      </c>
      <c r="Y23" s="131">
        <f t="shared" si="7"/>
        <v>54</v>
      </c>
      <c r="Z23" s="183">
        <f t="shared" si="8"/>
        <v>0.11312883435582821</v>
      </c>
      <c r="AA23" s="134">
        <f t="shared" si="9"/>
        <v>-4.325153374233124E-2</v>
      </c>
      <c r="AB23" s="190">
        <v>11</v>
      </c>
      <c r="AC23" s="190">
        <v>25</v>
      </c>
    </row>
    <row r="24" spans="2:29" s="187" customFormat="1" ht="42" hidden="1" x14ac:dyDescent="0.35">
      <c r="B24" s="114" t="str">
        <f t="shared" si="0"/>
        <v>Building Envelope - High Performance Glazing, Wall Insulation, &amp; Roof InsulationEducational Facility</v>
      </c>
      <c r="C24" s="193" t="s">
        <v>196</v>
      </c>
      <c r="D24" s="194" t="s">
        <v>179</v>
      </c>
      <c r="E24" s="117">
        <v>0.11</v>
      </c>
      <c r="F24" s="117">
        <v>0.2</v>
      </c>
      <c r="G24" s="117">
        <v>0.11</v>
      </c>
      <c r="H24" s="117">
        <v>0.2</v>
      </c>
      <c r="I24" s="117">
        <f t="shared" si="1"/>
        <v>0.155</v>
      </c>
      <c r="J24" s="188">
        <f>VLOOKUP(D24,'Existing Building EUI'!$B$7:$E$16,3,FALSE)</f>
        <v>201</v>
      </c>
      <c r="K24" s="188">
        <f>VLOOKUP(D24,'Existing Building EUI'!$B$7:$E$16,4,FALSE)</f>
        <v>284</v>
      </c>
      <c r="L24" s="189">
        <v>0</v>
      </c>
      <c r="M24" s="117">
        <v>0</v>
      </c>
      <c r="N24" s="183">
        <v>0.08</v>
      </c>
      <c r="O24" s="134">
        <v>0.15</v>
      </c>
      <c r="P24" s="189">
        <v>0.15</v>
      </c>
      <c r="Q24" s="117">
        <v>0.2</v>
      </c>
      <c r="R24" s="117">
        <v>0</v>
      </c>
      <c r="S24" s="117">
        <v>0</v>
      </c>
      <c r="T24" s="131">
        <f t="shared" si="10"/>
        <v>201</v>
      </c>
      <c r="U24" s="131">
        <f t="shared" si="11"/>
        <v>201</v>
      </c>
      <c r="V24" s="131">
        <f t="shared" si="4"/>
        <v>261.27999999999997</v>
      </c>
      <c r="W24" s="131">
        <f t="shared" si="5"/>
        <v>241.4</v>
      </c>
      <c r="X24" s="131">
        <f t="shared" si="6"/>
        <v>-30.15</v>
      </c>
      <c r="Y24" s="131">
        <f t="shared" si="7"/>
        <v>40.200000000000003</v>
      </c>
      <c r="Z24" s="183">
        <f t="shared" si="8"/>
        <v>0.10901030927835052</v>
      </c>
      <c r="AA24" s="134">
        <f t="shared" si="9"/>
        <v>4.9484536082474934E-3</v>
      </c>
      <c r="AB24" s="190">
        <v>11</v>
      </c>
      <c r="AC24" s="190">
        <v>25</v>
      </c>
    </row>
    <row r="25" spans="2:29" s="187" customFormat="1" ht="42" hidden="1" x14ac:dyDescent="0.35">
      <c r="B25" s="114" t="str">
        <f t="shared" si="0"/>
        <v>Building Envelope - High Performance Glazing, Wall Insulation, &amp; Roof InsulationBig Box Store</v>
      </c>
      <c r="C25" s="193" t="s">
        <v>196</v>
      </c>
      <c r="D25" s="194" t="s">
        <v>180</v>
      </c>
      <c r="E25" s="117">
        <v>0.21</v>
      </c>
      <c r="F25" s="117">
        <v>0.3</v>
      </c>
      <c r="G25" s="117">
        <v>0.21</v>
      </c>
      <c r="H25" s="117">
        <v>0.3</v>
      </c>
      <c r="I25" s="117">
        <f t="shared" si="1"/>
        <v>0.255</v>
      </c>
      <c r="J25" s="188">
        <f>VLOOKUP(D25,'Existing Building EUI'!$B$7:$E$16,3,FALSE)</f>
        <v>159</v>
      </c>
      <c r="K25" s="188">
        <f>VLOOKUP(D25,'Existing Building EUI'!$B$7:$E$16,4,FALSE)</f>
        <v>231</v>
      </c>
      <c r="L25" s="189">
        <v>0</v>
      </c>
      <c r="M25" s="117">
        <v>0</v>
      </c>
      <c r="N25" s="183">
        <v>0.18</v>
      </c>
      <c r="O25" s="134">
        <v>0.2</v>
      </c>
      <c r="P25" s="189">
        <v>0.25</v>
      </c>
      <c r="Q25" s="117">
        <v>0.35</v>
      </c>
      <c r="R25" s="117">
        <v>0</v>
      </c>
      <c r="S25" s="117">
        <v>0</v>
      </c>
      <c r="T25" s="131">
        <f t="shared" si="10"/>
        <v>159</v>
      </c>
      <c r="U25" s="131">
        <f t="shared" si="11"/>
        <v>159</v>
      </c>
      <c r="V25" s="131">
        <f t="shared" si="4"/>
        <v>189.42000000000002</v>
      </c>
      <c r="W25" s="131">
        <f t="shared" si="5"/>
        <v>184.8</v>
      </c>
      <c r="X25" s="131">
        <f t="shared" si="6"/>
        <v>-39.75</v>
      </c>
      <c r="Y25" s="131">
        <f t="shared" si="7"/>
        <v>55.65</v>
      </c>
      <c r="Z25" s="183">
        <f t="shared" si="8"/>
        <v>0.20853846153846151</v>
      </c>
      <c r="AA25" s="134">
        <f t="shared" si="9"/>
        <v>-2.4230769230769202E-2</v>
      </c>
      <c r="AB25" s="190">
        <v>11</v>
      </c>
      <c r="AC25" s="190">
        <v>25</v>
      </c>
    </row>
    <row r="26" spans="2:29" s="187" customFormat="1" ht="42" hidden="1" x14ac:dyDescent="0.35">
      <c r="B26" s="114" t="str">
        <f t="shared" si="0"/>
        <v>Building Envelope - High Performance Glazing, Wall Insulation, &amp; Roof InsulationLow Rise Office</v>
      </c>
      <c r="C26" s="193" t="s">
        <v>196</v>
      </c>
      <c r="D26" s="194" t="s">
        <v>181</v>
      </c>
      <c r="E26" s="117">
        <v>0.11</v>
      </c>
      <c r="F26" s="117">
        <v>0.2</v>
      </c>
      <c r="G26" s="117">
        <v>0.01</v>
      </c>
      <c r="H26" s="117">
        <v>0.1</v>
      </c>
      <c r="I26" s="117">
        <f t="shared" si="1"/>
        <v>5.5E-2</v>
      </c>
      <c r="J26" s="188">
        <f>VLOOKUP(D26,'Existing Building EUI'!$B$7:$E$16,3,FALSE)</f>
        <v>149</v>
      </c>
      <c r="K26" s="188">
        <f>VLOOKUP(D26,'Existing Building EUI'!$B$7:$E$16,4,FALSE)</f>
        <v>204</v>
      </c>
      <c r="L26" s="189">
        <v>0</v>
      </c>
      <c r="M26" s="117">
        <v>0</v>
      </c>
      <c r="N26" s="183">
        <v>0.08</v>
      </c>
      <c r="O26" s="134">
        <v>0.15</v>
      </c>
      <c r="P26" s="189">
        <v>0.15</v>
      </c>
      <c r="Q26" s="117">
        <v>0.2</v>
      </c>
      <c r="R26" s="117">
        <v>0</v>
      </c>
      <c r="S26" s="117">
        <v>0</v>
      </c>
      <c r="T26" s="131">
        <f t="shared" si="10"/>
        <v>149</v>
      </c>
      <c r="U26" s="131">
        <f t="shared" si="11"/>
        <v>149</v>
      </c>
      <c r="V26" s="131">
        <f t="shared" si="4"/>
        <v>187.68</v>
      </c>
      <c r="W26" s="131">
        <f t="shared" si="5"/>
        <v>173.4</v>
      </c>
      <c r="X26" s="131">
        <f t="shared" si="6"/>
        <v>-22.349999999999998</v>
      </c>
      <c r="Y26" s="131">
        <f t="shared" si="7"/>
        <v>29.8</v>
      </c>
      <c r="Z26" s="183">
        <f t="shared" si="8"/>
        <v>0.10954674220963177</v>
      </c>
      <c r="AA26" s="134">
        <f t="shared" si="9"/>
        <v>2.2662889518413921E-3</v>
      </c>
      <c r="AB26" s="190">
        <v>11</v>
      </c>
      <c r="AC26" s="190">
        <v>25</v>
      </c>
    </row>
    <row r="27" spans="2:29" s="187" customFormat="1" ht="42" hidden="1" x14ac:dyDescent="0.35">
      <c r="B27" s="114" t="str">
        <f t="shared" si="0"/>
        <v>Building Envelope - High Performance Glazing, Wall Insulation, &amp; Roof InsulationLow Rise Rental Apartment</v>
      </c>
      <c r="C27" s="193" t="s">
        <v>196</v>
      </c>
      <c r="D27" s="194" t="s">
        <v>183</v>
      </c>
      <c r="E27" s="117">
        <v>0.11</v>
      </c>
      <c r="F27" s="117">
        <v>0.2</v>
      </c>
      <c r="G27" s="117">
        <v>0.11</v>
      </c>
      <c r="H27" s="117">
        <v>0.2</v>
      </c>
      <c r="I27" s="117">
        <f t="shared" si="1"/>
        <v>0.155</v>
      </c>
      <c r="J27" s="188">
        <f>VLOOKUP(D27,'Existing Building EUI'!$B$7:$E$16,3,FALSE)</f>
        <v>234</v>
      </c>
      <c r="K27" s="188">
        <f>VLOOKUP(D27,'Existing Building EUI'!$B$7:$E$16,4,FALSE)</f>
        <v>107</v>
      </c>
      <c r="L27" s="189">
        <v>0</v>
      </c>
      <c r="M27" s="117">
        <v>0</v>
      </c>
      <c r="N27" s="183">
        <v>0.08</v>
      </c>
      <c r="O27" s="134">
        <v>0.15</v>
      </c>
      <c r="P27" s="189">
        <v>0.12</v>
      </c>
      <c r="Q27" s="117">
        <v>0.2</v>
      </c>
      <c r="R27" s="117">
        <v>0</v>
      </c>
      <c r="S27" s="117">
        <v>0</v>
      </c>
      <c r="T27" s="131">
        <f t="shared" si="10"/>
        <v>234</v>
      </c>
      <c r="U27" s="131">
        <f t="shared" si="11"/>
        <v>234</v>
      </c>
      <c r="V27" s="131">
        <f t="shared" si="4"/>
        <v>98.44</v>
      </c>
      <c r="W27" s="131">
        <f t="shared" si="5"/>
        <v>90.95</v>
      </c>
      <c r="X27" s="131">
        <f t="shared" si="6"/>
        <v>-28.08</v>
      </c>
      <c r="Y27" s="131">
        <f t="shared" si="7"/>
        <v>46.800000000000004</v>
      </c>
      <c r="Z27" s="183">
        <f t="shared" si="8"/>
        <v>0.10744868035190612</v>
      </c>
      <c r="AA27" s="134">
        <f t="shared" si="9"/>
        <v>-9.0175953079178889E-2</v>
      </c>
      <c r="AB27" s="190">
        <v>11</v>
      </c>
      <c r="AC27" s="190">
        <v>25</v>
      </c>
    </row>
    <row r="28" spans="2:29" s="187" customFormat="1" ht="42" hidden="1" x14ac:dyDescent="0.35">
      <c r="B28" s="114" t="str">
        <f t="shared" si="0"/>
        <v>Building Envelope - High Performance Glazing, Wall Insulation, &amp; Roof InsulationSingle Family Home Attached</v>
      </c>
      <c r="C28" s="193" t="s">
        <v>196</v>
      </c>
      <c r="D28" s="194" t="s">
        <v>182</v>
      </c>
      <c r="E28" s="117">
        <v>0.11</v>
      </c>
      <c r="F28" s="117">
        <v>0.2</v>
      </c>
      <c r="G28" s="117">
        <v>0.11</v>
      </c>
      <c r="H28" s="117">
        <v>0.2</v>
      </c>
      <c r="I28" s="117">
        <f t="shared" si="1"/>
        <v>0.155</v>
      </c>
      <c r="J28" s="188">
        <f>VLOOKUP(D28,'Existing Building EUI'!$B$7:$E$16,3,FALSE)</f>
        <v>147</v>
      </c>
      <c r="K28" s="188">
        <f>VLOOKUP(D28,'Existing Building EUI'!$B$7:$E$16,4,FALSE)</f>
        <v>43</v>
      </c>
      <c r="L28" s="189">
        <v>0</v>
      </c>
      <c r="M28" s="117">
        <v>0</v>
      </c>
      <c r="N28" s="183">
        <v>0.08</v>
      </c>
      <c r="O28" s="134">
        <v>0.15</v>
      </c>
      <c r="P28" s="189">
        <v>0.12</v>
      </c>
      <c r="Q28" s="117">
        <v>0.2</v>
      </c>
      <c r="R28" s="117">
        <v>0</v>
      </c>
      <c r="S28" s="117">
        <v>0</v>
      </c>
      <c r="T28" s="131">
        <f t="shared" si="10"/>
        <v>147</v>
      </c>
      <c r="U28" s="131">
        <f t="shared" si="11"/>
        <v>147</v>
      </c>
      <c r="V28" s="131">
        <f t="shared" si="4"/>
        <v>39.56</v>
      </c>
      <c r="W28" s="131">
        <f t="shared" si="5"/>
        <v>36.549999999999997</v>
      </c>
      <c r="X28" s="131">
        <f t="shared" si="6"/>
        <v>-17.64</v>
      </c>
      <c r="Y28" s="131">
        <f t="shared" si="7"/>
        <v>29.400000000000002</v>
      </c>
      <c r="Z28" s="183">
        <f t="shared" si="8"/>
        <v>0.11094736842105254</v>
      </c>
      <c r="AA28" s="134">
        <f t="shared" si="9"/>
        <v>-0.12078947368421061</v>
      </c>
      <c r="AB28" s="190">
        <v>1</v>
      </c>
      <c r="AC28" s="190">
        <v>10</v>
      </c>
    </row>
    <row r="29" spans="2:29" s="187" customFormat="1" ht="42" hidden="1" x14ac:dyDescent="0.35">
      <c r="B29" s="114" t="str">
        <f t="shared" si="0"/>
        <v>Building Envelope - High Performance Glazing, Wall Insulation, &amp; Roof InsulationSingle Family Home Detached</v>
      </c>
      <c r="C29" s="193" t="s">
        <v>196</v>
      </c>
      <c r="D29" s="194" t="s">
        <v>209</v>
      </c>
      <c r="E29" s="117">
        <v>0.11</v>
      </c>
      <c r="F29" s="117">
        <v>0.2</v>
      </c>
      <c r="G29" s="117">
        <v>0.11</v>
      </c>
      <c r="H29" s="117">
        <v>0.2</v>
      </c>
      <c r="I29" s="117">
        <f t="shared" si="1"/>
        <v>0.155</v>
      </c>
      <c r="J29" s="188">
        <f>VLOOKUP(D29,'Existing Building EUI'!$B$7:$E$16,3,FALSE)</f>
        <v>203</v>
      </c>
      <c r="K29" s="188">
        <f>VLOOKUP(D29,'Existing Building EUI'!$B$7:$E$16,4,FALSE)</f>
        <v>38</v>
      </c>
      <c r="L29" s="189">
        <v>0</v>
      </c>
      <c r="M29" s="117">
        <v>0</v>
      </c>
      <c r="N29" s="183">
        <v>0.08</v>
      </c>
      <c r="O29" s="134">
        <v>0.15</v>
      </c>
      <c r="P29" s="189">
        <v>0.12</v>
      </c>
      <c r="Q29" s="117">
        <v>0.2</v>
      </c>
      <c r="R29" s="117">
        <v>0</v>
      </c>
      <c r="S29" s="117">
        <v>0</v>
      </c>
      <c r="T29" s="131">
        <f t="shared" si="10"/>
        <v>203</v>
      </c>
      <c r="U29" s="131">
        <f t="shared" si="11"/>
        <v>203</v>
      </c>
      <c r="V29" s="131">
        <f t="shared" si="4"/>
        <v>34.96</v>
      </c>
      <c r="W29" s="131">
        <f t="shared" si="5"/>
        <v>32.299999999999997</v>
      </c>
      <c r="X29" s="131">
        <f t="shared" si="6"/>
        <v>-24.36</v>
      </c>
      <c r="Y29" s="131">
        <f t="shared" si="7"/>
        <v>40.6</v>
      </c>
      <c r="Z29" s="183">
        <f t="shared" si="8"/>
        <v>0.11369294605809119</v>
      </c>
      <c r="AA29" s="134">
        <f t="shared" si="9"/>
        <v>-0.14481327800829891</v>
      </c>
      <c r="AB29" s="190">
        <v>1</v>
      </c>
      <c r="AC29" s="190">
        <v>10</v>
      </c>
    </row>
    <row r="30" spans="2:29" s="187" customFormat="1" ht="28" x14ac:dyDescent="0.35">
      <c r="B30" s="114" t="str">
        <f t="shared" si="0"/>
        <v>Domestic Hot Water - Electric Water HeaterBig Box Store</v>
      </c>
      <c r="C30" s="193" t="s">
        <v>202</v>
      </c>
      <c r="D30" s="194" t="s">
        <v>180</v>
      </c>
      <c r="E30" s="117">
        <v>0.01</v>
      </c>
      <c r="F30" s="117">
        <v>0.05</v>
      </c>
      <c r="G30" s="117">
        <v>0.01</v>
      </c>
      <c r="H30" s="117">
        <v>0.1</v>
      </c>
      <c r="I30" s="117">
        <f t="shared" si="1"/>
        <v>5.5E-2</v>
      </c>
      <c r="J30" s="188">
        <f>VLOOKUP(D30,'Existing Building EUI'!$B$7:$E$16,3,FALSE)</f>
        <v>159</v>
      </c>
      <c r="K30" s="188">
        <f>VLOOKUP(D30,'Existing Building EUI'!$B$7:$E$16,4,FALSE)</f>
        <v>231</v>
      </c>
      <c r="L30" s="189">
        <v>0</v>
      </c>
      <c r="M30" s="117">
        <v>0</v>
      </c>
      <c r="N30" s="183">
        <v>0</v>
      </c>
      <c r="O30" s="134">
        <v>0</v>
      </c>
      <c r="P30" s="189">
        <v>0.02</v>
      </c>
      <c r="Q30" s="117">
        <v>0.15</v>
      </c>
      <c r="R30" s="133">
        <f>P30/-4</f>
        <v>-5.0000000000000001E-3</v>
      </c>
      <c r="S30" s="133">
        <f>Q30/-4</f>
        <v>-3.7499999999999999E-2</v>
      </c>
      <c r="T30" s="131">
        <f t="shared" si="10"/>
        <v>159</v>
      </c>
      <c r="U30" s="131">
        <f t="shared" si="11"/>
        <v>159</v>
      </c>
      <c r="V30" s="131">
        <f t="shared" si="4"/>
        <v>231.79499999999999</v>
      </c>
      <c r="W30" s="131">
        <f t="shared" si="5"/>
        <v>236.96250000000001</v>
      </c>
      <c r="X30" s="131">
        <f t="shared" si="6"/>
        <v>-3.18</v>
      </c>
      <c r="Y30" s="131">
        <f t="shared" si="7"/>
        <v>23.849999999999998</v>
      </c>
      <c r="Z30" s="183">
        <f t="shared" si="8"/>
        <v>6.1153846153847377E-3</v>
      </c>
      <c r="AA30" s="134">
        <f t="shared" si="9"/>
        <v>-7.6442307692307698E-2</v>
      </c>
      <c r="AB30" s="190">
        <v>0</v>
      </c>
      <c r="AC30" s="190">
        <v>0</v>
      </c>
    </row>
    <row r="31" spans="2:29" s="187" customFormat="1" ht="28" x14ac:dyDescent="0.35">
      <c r="B31" s="114" t="str">
        <f t="shared" si="0"/>
        <v>Domestic Hot Water - Electric Water HeaterStrip Mall</v>
      </c>
      <c r="C31" s="193" t="s">
        <v>202</v>
      </c>
      <c r="D31" s="194" t="s">
        <v>159</v>
      </c>
      <c r="E31" s="117">
        <v>0.01</v>
      </c>
      <c r="F31" s="117">
        <v>0.05</v>
      </c>
      <c r="G31" s="117">
        <v>0.01</v>
      </c>
      <c r="H31" s="117">
        <v>0.1</v>
      </c>
      <c r="I31" s="117">
        <f t="shared" si="1"/>
        <v>5.5E-2</v>
      </c>
      <c r="J31" s="188">
        <f>VLOOKUP(D31,'Existing Building EUI'!$B$7:$E$16,3,FALSE)</f>
        <v>127</v>
      </c>
      <c r="K31" s="188">
        <f>VLOOKUP(D31,'Existing Building EUI'!$B$7:$E$16,4,FALSE)</f>
        <v>248</v>
      </c>
      <c r="L31" s="189">
        <v>0</v>
      </c>
      <c r="M31" s="117">
        <v>0</v>
      </c>
      <c r="N31" s="183">
        <v>0</v>
      </c>
      <c r="O31" s="134">
        <v>0</v>
      </c>
      <c r="P31" s="189">
        <v>0.02</v>
      </c>
      <c r="Q31" s="117">
        <v>0.2</v>
      </c>
      <c r="R31" s="133">
        <f t="shared" ref="R31:R39" si="12">P31/-4</f>
        <v>-5.0000000000000001E-3</v>
      </c>
      <c r="S31" s="133">
        <f t="shared" ref="S31:S39" si="13">Q31/-4</f>
        <v>-0.05</v>
      </c>
      <c r="T31" s="131">
        <f t="shared" si="10"/>
        <v>127</v>
      </c>
      <c r="U31" s="131">
        <f t="shared" si="11"/>
        <v>127</v>
      </c>
      <c r="V31" s="131">
        <f t="shared" si="4"/>
        <v>248.63499999999999</v>
      </c>
      <c r="W31" s="131">
        <f t="shared" si="5"/>
        <v>254.35</v>
      </c>
      <c r="X31" s="131">
        <f t="shared" si="6"/>
        <v>-2.54</v>
      </c>
      <c r="Y31" s="131">
        <f t="shared" si="7"/>
        <v>25.400000000000002</v>
      </c>
      <c r="Z31" s="183">
        <f t="shared" si="8"/>
        <v>5.0800000000000792E-3</v>
      </c>
      <c r="AA31" s="134">
        <f t="shared" si="9"/>
        <v>-8.4666666666666668E-2</v>
      </c>
      <c r="AB31" s="190">
        <v>0</v>
      </c>
      <c r="AC31" s="190">
        <v>0</v>
      </c>
    </row>
    <row r="32" spans="2:29" s="187" customFormat="1" ht="28" x14ac:dyDescent="0.35">
      <c r="B32" s="114" t="str">
        <f t="shared" si="0"/>
        <v>Domestic Hot Water - Electric Water HeaterSingle Family Home Attached</v>
      </c>
      <c r="C32" s="193" t="s">
        <v>202</v>
      </c>
      <c r="D32" s="194" t="s">
        <v>182</v>
      </c>
      <c r="E32" s="117">
        <v>0.11</v>
      </c>
      <c r="F32" s="117">
        <v>0.2</v>
      </c>
      <c r="G32" s="117">
        <v>0.11</v>
      </c>
      <c r="H32" s="117">
        <v>0.2</v>
      </c>
      <c r="I32" s="117">
        <f t="shared" si="1"/>
        <v>0.155</v>
      </c>
      <c r="J32" s="188">
        <f>VLOOKUP(D32,'Existing Building EUI'!$B$7:$E$16,3,FALSE)</f>
        <v>147</v>
      </c>
      <c r="K32" s="188">
        <f>VLOOKUP(D32,'Existing Building EUI'!$B$7:$E$16,4,FALSE)</f>
        <v>43</v>
      </c>
      <c r="L32" s="189">
        <v>0</v>
      </c>
      <c r="M32" s="117">
        <v>0</v>
      </c>
      <c r="N32" s="183">
        <v>0</v>
      </c>
      <c r="O32" s="134">
        <v>0</v>
      </c>
      <c r="P32" s="189">
        <v>0.2</v>
      </c>
      <c r="Q32" s="117">
        <v>0.3</v>
      </c>
      <c r="R32" s="133">
        <f t="shared" si="12"/>
        <v>-0.05</v>
      </c>
      <c r="S32" s="133">
        <f t="shared" si="13"/>
        <v>-7.4999999999999997E-2</v>
      </c>
      <c r="T32" s="131">
        <f t="shared" si="10"/>
        <v>147</v>
      </c>
      <c r="U32" s="131">
        <f t="shared" si="11"/>
        <v>147</v>
      </c>
      <c r="V32" s="131">
        <f t="shared" si="4"/>
        <v>50.35</v>
      </c>
      <c r="W32" s="131">
        <f t="shared" si="5"/>
        <v>54.024999999999999</v>
      </c>
      <c r="X32" s="131">
        <f t="shared" si="6"/>
        <v>-29.400000000000002</v>
      </c>
      <c r="Y32" s="131">
        <f t="shared" si="7"/>
        <v>44.1</v>
      </c>
      <c r="Z32" s="183">
        <f t="shared" si="8"/>
        <v>0.11605263157894743</v>
      </c>
      <c r="AA32" s="134">
        <f t="shared" si="9"/>
        <v>-0.29013157894736841</v>
      </c>
      <c r="AB32" s="190">
        <v>1</v>
      </c>
      <c r="AC32" s="190">
        <v>10</v>
      </c>
    </row>
    <row r="33" spans="2:29" s="187" customFormat="1" ht="28" x14ac:dyDescent="0.35">
      <c r="B33" s="114" t="str">
        <f t="shared" si="0"/>
        <v>Domestic Hot Water - Electric Water HeaterSingle Family Home Detached</v>
      </c>
      <c r="C33" s="193" t="s">
        <v>202</v>
      </c>
      <c r="D33" s="194" t="s">
        <v>209</v>
      </c>
      <c r="E33" s="117">
        <v>0.21</v>
      </c>
      <c r="F33" s="117">
        <v>0.3</v>
      </c>
      <c r="G33" s="117">
        <v>0.21</v>
      </c>
      <c r="H33" s="117">
        <v>0.3</v>
      </c>
      <c r="I33" s="117">
        <f t="shared" si="1"/>
        <v>0.255</v>
      </c>
      <c r="J33" s="188">
        <f>VLOOKUP(D33,'Existing Building EUI'!$B$7:$E$16,3,FALSE)</f>
        <v>203</v>
      </c>
      <c r="K33" s="188">
        <f>VLOOKUP(D33,'Existing Building EUI'!$B$7:$E$16,4,FALSE)</f>
        <v>38</v>
      </c>
      <c r="L33" s="189">
        <v>0</v>
      </c>
      <c r="M33" s="117">
        <v>0</v>
      </c>
      <c r="N33" s="183">
        <v>0</v>
      </c>
      <c r="O33" s="134">
        <v>0</v>
      </c>
      <c r="P33" s="189">
        <v>0.2</v>
      </c>
      <c r="Q33" s="117">
        <v>0.3</v>
      </c>
      <c r="R33" s="133">
        <f t="shared" si="12"/>
        <v>-0.05</v>
      </c>
      <c r="S33" s="133">
        <f t="shared" si="13"/>
        <v>-7.4999999999999997E-2</v>
      </c>
      <c r="T33" s="131">
        <f t="shared" si="10"/>
        <v>203</v>
      </c>
      <c r="U33" s="131">
        <f t="shared" si="11"/>
        <v>203</v>
      </c>
      <c r="V33" s="131">
        <f t="shared" si="4"/>
        <v>48.15</v>
      </c>
      <c r="W33" s="131">
        <f t="shared" si="5"/>
        <v>53.225000000000001</v>
      </c>
      <c r="X33" s="131">
        <f t="shared" si="6"/>
        <v>-40.6</v>
      </c>
      <c r="Y33" s="131">
        <f t="shared" si="7"/>
        <v>60.9</v>
      </c>
      <c r="Z33" s="183">
        <f t="shared" si="8"/>
        <v>0.12634854771784226</v>
      </c>
      <c r="AA33" s="134">
        <f t="shared" si="9"/>
        <v>-0.3158713692946058</v>
      </c>
      <c r="AB33" s="190">
        <v>1</v>
      </c>
      <c r="AC33" s="190">
        <v>10</v>
      </c>
    </row>
    <row r="34" spans="2:29" s="187" customFormat="1" ht="42" x14ac:dyDescent="0.35">
      <c r="B34" s="114" t="str">
        <f t="shared" si="0"/>
        <v>Domestic Hot Water - Heat Pump and Electric Resistance Water HeatersMid Rise Office</v>
      </c>
      <c r="C34" s="193" t="s">
        <v>197</v>
      </c>
      <c r="D34" s="194" t="s">
        <v>178</v>
      </c>
      <c r="E34" s="117">
        <v>0.01</v>
      </c>
      <c r="F34" s="117">
        <v>0.05</v>
      </c>
      <c r="G34" s="117">
        <v>0.01</v>
      </c>
      <c r="H34" s="117">
        <v>0.1</v>
      </c>
      <c r="I34" s="117">
        <f t="shared" si="1"/>
        <v>5.5E-2</v>
      </c>
      <c r="J34" s="188">
        <f>VLOOKUP(D34,'Existing Building EUI'!$B$7:$E$16,3,FALSE)</f>
        <v>270</v>
      </c>
      <c r="K34" s="188">
        <f>VLOOKUP(D34,'Existing Building EUI'!$B$7:$E$16,4,FALSE)</f>
        <v>219</v>
      </c>
      <c r="L34" s="189">
        <v>0</v>
      </c>
      <c r="M34" s="117">
        <v>0</v>
      </c>
      <c r="N34" s="183">
        <v>0</v>
      </c>
      <c r="O34" s="134">
        <v>0</v>
      </c>
      <c r="P34" s="189">
        <v>0.02</v>
      </c>
      <c r="Q34" s="117">
        <v>0.1</v>
      </c>
      <c r="R34" s="133">
        <f t="shared" si="12"/>
        <v>-5.0000000000000001E-3</v>
      </c>
      <c r="S34" s="133">
        <f t="shared" si="13"/>
        <v>-2.5000000000000001E-2</v>
      </c>
      <c r="T34" s="131">
        <f t="shared" si="10"/>
        <v>270</v>
      </c>
      <c r="U34" s="131">
        <f t="shared" si="11"/>
        <v>270</v>
      </c>
      <c r="V34" s="131">
        <f t="shared" si="4"/>
        <v>220.35</v>
      </c>
      <c r="W34" s="131">
        <f t="shared" si="5"/>
        <v>225.75</v>
      </c>
      <c r="X34" s="131">
        <f t="shared" si="6"/>
        <v>-5.4</v>
      </c>
      <c r="Y34" s="131">
        <f t="shared" si="7"/>
        <v>27</v>
      </c>
      <c r="Z34" s="183">
        <f t="shared" si="8"/>
        <v>8.2822085889569623E-3</v>
      </c>
      <c r="AA34" s="134">
        <f t="shared" si="9"/>
        <v>-6.9018404907975464E-2</v>
      </c>
      <c r="AB34" s="190">
        <v>0</v>
      </c>
      <c r="AC34" s="190">
        <v>0</v>
      </c>
    </row>
    <row r="35" spans="2:29" s="187" customFormat="1" ht="42" x14ac:dyDescent="0.35">
      <c r="B35" s="114" t="str">
        <f t="shared" si="0"/>
        <v>Domestic Hot Water - Heat Pump and Electric Resistance Water HeatersEducational Facility</v>
      </c>
      <c r="C35" s="193" t="s">
        <v>197</v>
      </c>
      <c r="D35" s="194" t="s">
        <v>179</v>
      </c>
      <c r="E35" s="117">
        <v>0.01</v>
      </c>
      <c r="F35" s="117">
        <v>0.05</v>
      </c>
      <c r="G35" s="117">
        <v>0.01</v>
      </c>
      <c r="H35" s="117">
        <v>0.15</v>
      </c>
      <c r="I35" s="117">
        <f t="shared" si="1"/>
        <v>0.08</v>
      </c>
      <c r="J35" s="188">
        <f>VLOOKUP(D35,'Existing Building EUI'!$B$7:$E$16,3,FALSE)</f>
        <v>201</v>
      </c>
      <c r="K35" s="188">
        <f>VLOOKUP(D35,'Existing Building EUI'!$B$7:$E$16,4,FALSE)</f>
        <v>284</v>
      </c>
      <c r="L35" s="189">
        <v>0</v>
      </c>
      <c r="M35" s="117">
        <v>0</v>
      </c>
      <c r="N35" s="183">
        <v>0</v>
      </c>
      <c r="O35" s="134">
        <v>0</v>
      </c>
      <c r="P35" s="189">
        <v>0.02</v>
      </c>
      <c r="Q35" s="117">
        <v>0.15</v>
      </c>
      <c r="R35" s="133">
        <f t="shared" si="12"/>
        <v>-5.0000000000000001E-3</v>
      </c>
      <c r="S35" s="133">
        <f t="shared" si="13"/>
        <v>-3.7499999999999999E-2</v>
      </c>
      <c r="T35" s="131">
        <f t="shared" si="10"/>
        <v>201</v>
      </c>
      <c r="U35" s="131">
        <f t="shared" si="11"/>
        <v>201</v>
      </c>
      <c r="V35" s="131">
        <f t="shared" si="4"/>
        <v>285.005</v>
      </c>
      <c r="W35" s="131">
        <f t="shared" si="5"/>
        <v>291.53750000000002</v>
      </c>
      <c r="X35" s="131">
        <f t="shared" si="6"/>
        <v>-4.0200000000000005</v>
      </c>
      <c r="Y35" s="131">
        <f t="shared" si="7"/>
        <v>30.15</v>
      </c>
      <c r="Z35" s="183">
        <f t="shared" si="8"/>
        <v>6.2164948453607965E-3</v>
      </c>
      <c r="AA35" s="134">
        <f t="shared" si="9"/>
        <v>-7.7706185567010311E-2</v>
      </c>
      <c r="AB35" s="190">
        <v>1</v>
      </c>
      <c r="AC35" s="190">
        <v>10</v>
      </c>
    </row>
    <row r="36" spans="2:29" s="187" customFormat="1" ht="42" x14ac:dyDescent="0.35">
      <c r="B36" s="114" t="str">
        <f t="shared" si="0"/>
        <v>Domestic Hot Water - Heat Pump and Electric Resistance Water HeatersLow Rise Office</v>
      </c>
      <c r="C36" s="193" t="s">
        <v>197</v>
      </c>
      <c r="D36" s="194" t="s">
        <v>181</v>
      </c>
      <c r="E36" s="118">
        <v>0.01</v>
      </c>
      <c r="F36" s="118">
        <v>0.05</v>
      </c>
      <c r="G36" s="117">
        <v>0.01</v>
      </c>
      <c r="H36" s="117">
        <v>0.1</v>
      </c>
      <c r="I36" s="117">
        <f t="shared" si="1"/>
        <v>5.5E-2</v>
      </c>
      <c r="J36" s="188">
        <f>VLOOKUP(D36,'Existing Building EUI'!$B$7:$E$16,3,FALSE)</f>
        <v>149</v>
      </c>
      <c r="K36" s="188">
        <f>VLOOKUP(D36,'Existing Building EUI'!$B$7:$E$16,4,FALSE)</f>
        <v>204</v>
      </c>
      <c r="L36" s="189">
        <v>0</v>
      </c>
      <c r="M36" s="117">
        <v>0</v>
      </c>
      <c r="N36" s="183">
        <v>0</v>
      </c>
      <c r="O36" s="134">
        <v>0</v>
      </c>
      <c r="P36" s="189">
        <v>0.02</v>
      </c>
      <c r="Q36" s="117">
        <v>0.15</v>
      </c>
      <c r="R36" s="133">
        <f t="shared" si="12"/>
        <v>-5.0000000000000001E-3</v>
      </c>
      <c r="S36" s="133">
        <f t="shared" si="13"/>
        <v>-3.7499999999999999E-2</v>
      </c>
      <c r="T36" s="131">
        <f t="shared" si="10"/>
        <v>149</v>
      </c>
      <c r="U36" s="131">
        <f t="shared" si="11"/>
        <v>149</v>
      </c>
      <c r="V36" s="131">
        <f t="shared" si="4"/>
        <v>204.745</v>
      </c>
      <c r="W36" s="131">
        <f t="shared" si="5"/>
        <v>209.58750000000001</v>
      </c>
      <c r="X36" s="131">
        <f t="shared" si="6"/>
        <v>-2.98</v>
      </c>
      <c r="Y36" s="131">
        <f t="shared" si="7"/>
        <v>22.349999999999998</v>
      </c>
      <c r="Z36" s="183">
        <f t="shared" si="8"/>
        <v>6.3314447592068375E-3</v>
      </c>
      <c r="AA36" s="134">
        <f t="shared" si="9"/>
        <v>-7.9143059490084988E-2</v>
      </c>
      <c r="AB36" s="190">
        <v>0</v>
      </c>
      <c r="AC36" s="190">
        <v>0</v>
      </c>
    </row>
    <row r="37" spans="2:29" s="187" customFormat="1" ht="42" x14ac:dyDescent="0.35">
      <c r="B37" s="114" t="str">
        <f t="shared" si="0"/>
        <v>Domestic Hot Water - Heat Pump and Electric Resistance Water HeatersMixed Use</v>
      </c>
      <c r="C37" s="193" t="s">
        <v>197</v>
      </c>
      <c r="D37" s="194" t="s">
        <v>160</v>
      </c>
      <c r="E37" s="117">
        <v>0.11</v>
      </c>
      <c r="F37" s="117">
        <v>0.2</v>
      </c>
      <c r="G37" s="117">
        <v>0.21</v>
      </c>
      <c r="H37" s="117">
        <v>0.3</v>
      </c>
      <c r="I37" s="117">
        <f t="shared" si="1"/>
        <v>0.255</v>
      </c>
      <c r="J37" s="188">
        <f>VLOOKUP(D37,'Existing Building EUI'!$B$7:$E$16,3,FALSE)</f>
        <v>268</v>
      </c>
      <c r="K37" s="188">
        <f>VLOOKUP(D37,'Existing Building EUI'!$B$7:$E$16,4,FALSE)</f>
        <v>322</v>
      </c>
      <c r="L37" s="189">
        <v>0</v>
      </c>
      <c r="M37" s="117">
        <v>0</v>
      </c>
      <c r="N37" s="183">
        <v>0</v>
      </c>
      <c r="O37" s="134">
        <v>0</v>
      </c>
      <c r="P37" s="189">
        <v>0.2</v>
      </c>
      <c r="Q37" s="117">
        <v>0.4</v>
      </c>
      <c r="R37" s="133">
        <f t="shared" si="12"/>
        <v>-0.05</v>
      </c>
      <c r="S37" s="133">
        <f t="shared" si="13"/>
        <v>-0.1</v>
      </c>
      <c r="T37" s="131">
        <f t="shared" si="10"/>
        <v>268</v>
      </c>
      <c r="U37" s="131">
        <f t="shared" si="11"/>
        <v>268</v>
      </c>
      <c r="V37" s="131">
        <f t="shared" si="4"/>
        <v>335.4</v>
      </c>
      <c r="W37" s="131">
        <f t="shared" si="5"/>
        <v>348.8</v>
      </c>
      <c r="X37" s="131">
        <f t="shared" si="6"/>
        <v>-53.6</v>
      </c>
      <c r="Y37" s="131">
        <f t="shared" si="7"/>
        <v>107.2</v>
      </c>
      <c r="Z37" s="183">
        <f t="shared" si="8"/>
        <v>6.8135593220339061E-2</v>
      </c>
      <c r="AA37" s="134">
        <f t="shared" si="9"/>
        <v>-0.22711864406779661</v>
      </c>
      <c r="AB37" s="190">
        <v>1</v>
      </c>
      <c r="AC37" s="190">
        <v>10</v>
      </c>
    </row>
    <row r="38" spans="2:29" s="187" customFormat="1" ht="42" x14ac:dyDescent="0.35">
      <c r="B38" s="114" t="str">
        <f t="shared" ref="B38:B69" si="14">C38&amp;D38</f>
        <v>Domestic Hot Water - Heat Pump and Electric Resistance Water HeatersCondominium</v>
      </c>
      <c r="C38" s="197" t="s">
        <v>197</v>
      </c>
      <c r="D38" s="194" t="s">
        <v>161</v>
      </c>
      <c r="E38" s="117">
        <v>0.01</v>
      </c>
      <c r="F38" s="117">
        <v>0.1</v>
      </c>
      <c r="G38" s="119">
        <v>0.01</v>
      </c>
      <c r="H38" s="119">
        <v>0.1</v>
      </c>
      <c r="I38" s="117">
        <f t="shared" ref="I38:I69" si="15">AVERAGE(G38:H38)</f>
        <v>5.5E-2</v>
      </c>
      <c r="J38" s="188">
        <f>VLOOKUP(D38,'Existing Building EUI'!$B$7:$E$16,3,FALSE)</f>
        <v>215</v>
      </c>
      <c r="K38" s="188">
        <f>VLOOKUP(D38,'Existing Building EUI'!$B$7:$E$16,4,FALSE)</f>
        <v>93</v>
      </c>
      <c r="L38" s="189">
        <v>0</v>
      </c>
      <c r="M38" s="117">
        <v>0</v>
      </c>
      <c r="N38" s="183">
        <v>0</v>
      </c>
      <c r="O38" s="134">
        <v>0</v>
      </c>
      <c r="P38" s="189">
        <v>0.02</v>
      </c>
      <c r="Q38" s="117">
        <v>0.2</v>
      </c>
      <c r="R38" s="133">
        <f t="shared" si="12"/>
        <v>-5.0000000000000001E-3</v>
      </c>
      <c r="S38" s="133">
        <f t="shared" si="13"/>
        <v>-0.05</v>
      </c>
      <c r="T38" s="131">
        <f t="shared" si="10"/>
        <v>215</v>
      </c>
      <c r="U38" s="131">
        <f t="shared" si="11"/>
        <v>215</v>
      </c>
      <c r="V38" s="131">
        <f t="shared" ref="V38:V69" si="16">K38-((K38*N38)+(J38*R38))</f>
        <v>94.075000000000003</v>
      </c>
      <c r="W38" s="131">
        <f t="shared" ref="W38:W69" si="17">K38-((K38*O38)+(J38*S38))</f>
        <v>103.75</v>
      </c>
      <c r="X38" s="131">
        <f t="shared" ref="X38:X69" si="18">(P38*J38)*-1</f>
        <v>-4.3</v>
      </c>
      <c r="Y38" s="131">
        <f t="shared" si="7"/>
        <v>43</v>
      </c>
      <c r="Z38" s="183">
        <f t="shared" ref="Z38:Z69" si="19">(SUM(T38,V38,X38)-SUM(J38:K38))/SUM(J38:K38)*-1</f>
        <v>1.0470779220779295E-2</v>
      </c>
      <c r="AA38" s="134">
        <f t="shared" ref="AA38:AA69" si="20">(SUM(U38,W38,Y38)-SUM(J38:K38))/SUM(J38:K38)*-1</f>
        <v>-0.17451298701298701</v>
      </c>
      <c r="AB38" s="190">
        <v>1</v>
      </c>
      <c r="AC38" s="190">
        <v>10</v>
      </c>
    </row>
    <row r="39" spans="2:29" s="187" customFormat="1" ht="42" x14ac:dyDescent="0.35">
      <c r="B39" s="114" t="str">
        <f t="shared" si="14"/>
        <v>Domestic Hot Water - Heat Pump and Electric Resistance Water HeatersLow Rise Rental Apartment</v>
      </c>
      <c r="C39" s="197" t="s">
        <v>197</v>
      </c>
      <c r="D39" s="194" t="s">
        <v>183</v>
      </c>
      <c r="E39" s="117">
        <v>0.11</v>
      </c>
      <c r="F39" s="117">
        <v>0.2</v>
      </c>
      <c r="G39" s="117">
        <v>0.21</v>
      </c>
      <c r="H39" s="117">
        <v>0.3</v>
      </c>
      <c r="I39" s="117">
        <f t="shared" si="15"/>
        <v>0.255</v>
      </c>
      <c r="J39" s="188">
        <f>VLOOKUP(D39,'Existing Building EUI'!$B$7:$E$16,3,FALSE)</f>
        <v>234</v>
      </c>
      <c r="K39" s="188">
        <f>VLOOKUP(D39,'Existing Building EUI'!$B$7:$E$16,4,FALSE)</f>
        <v>107</v>
      </c>
      <c r="L39" s="189">
        <v>0</v>
      </c>
      <c r="M39" s="117">
        <v>0</v>
      </c>
      <c r="N39" s="183">
        <v>0</v>
      </c>
      <c r="O39" s="134">
        <v>0</v>
      </c>
      <c r="P39" s="189">
        <v>0.22</v>
      </c>
      <c r="Q39" s="117">
        <v>0.3</v>
      </c>
      <c r="R39" s="133">
        <f t="shared" si="12"/>
        <v>-5.5E-2</v>
      </c>
      <c r="S39" s="133">
        <f t="shared" si="13"/>
        <v>-7.4999999999999997E-2</v>
      </c>
      <c r="T39" s="131">
        <f t="shared" si="10"/>
        <v>234</v>
      </c>
      <c r="U39" s="131">
        <f t="shared" si="11"/>
        <v>234</v>
      </c>
      <c r="V39" s="131">
        <f t="shared" si="16"/>
        <v>119.87</v>
      </c>
      <c r="W39" s="131">
        <f t="shared" si="17"/>
        <v>124.55</v>
      </c>
      <c r="X39" s="131">
        <f t="shared" si="18"/>
        <v>-51.48</v>
      </c>
      <c r="Y39" s="131">
        <f t="shared" si="7"/>
        <v>70.2</v>
      </c>
      <c r="Z39" s="183">
        <f t="shared" si="19"/>
        <v>0.11322580645161294</v>
      </c>
      <c r="AA39" s="134">
        <f t="shared" si="20"/>
        <v>-0.25733137829912023</v>
      </c>
      <c r="AB39" s="190">
        <v>1</v>
      </c>
      <c r="AC39" s="190">
        <v>10</v>
      </c>
    </row>
    <row r="40" spans="2:29" s="187" customFormat="1" ht="28" hidden="1" x14ac:dyDescent="0.35">
      <c r="B40" s="114" t="str">
        <f t="shared" si="14"/>
        <v>Gas Appliances - Electric and Induction RangesEducational Facility</v>
      </c>
      <c r="C40" s="193" t="s">
        <v>201</v>
      </c>
      <c r="D40" s="194" t="s">
        <v>179</v>
      </c>
      <c r="E40" s="117">
        <v>0.01</v>
      </c>
      <c r="F40" s="117">
        <v>0.1</v>
      </c>
      <c r="G40" s="117">
        <v>0.1</v>
      </c>
      <c r="H40" s="117">
        <v>0.15</v>
      </c>
      <c r="I40" s="117">
        <f t="shared" si="15"/>
        <v>0.125</v>
      </c>
      <c r="J40" s="188">
        <f>VLOOKUP(D40,'Existing Building EUI'!$B$7:$E$16,3,FALSE)</f>
        <v>201</v>
      </c>
      <c r="K40" s="188">
        <f>VLOOKUP(D40,'Existing Building EUI'!$B$7:$E$16,4,FALSE)</f>
        <v>284</v>
      </c>
      <c r="L40" s="205">
        <v>1</v>
      </c>
      <c r="M40" s="199">
        <v>1</v>
      </c>
      <c r="N40" s="184">
        <v>0</v>
      </c>
      <c r="O40" s="134">
        <v>0</v>
      </c>
      <c r="P40" s="184">
        <v>0</v>
      </c>
      <c r="Q40" s="134">
        <v>0</v>
      </c>
      <c r="R40" s="199">
        <f>(L40*0.02)/-2</f>
        <v>-0.01</v>
      </c>
      <c r="S40" s="199">
        <f>(M40*0.15)/-2</f>
        <v>-7.4999999999999997E-2</v>
      </c>
      <c r="T40" s="131">
        <f t="shared" si="10"/>
        <v>0</v>
      </c>
      <c r="U40" s="131">
        <f t="shared" si="11"/>
        <v>0</v>
      </c>
      <c r="V40" s="131">
        <f t="shared" si="16"/>
        <v>286.01</v>
      </c>
      <c r="W40" s="131">
        <f t="shared" si="17"/>
        <v>299.07499999999999</v>
      </c>
      <c r="X40" s="131">
        <f t="shared" si="18"/>
        <v>0</v>
      </c>
      <c r="Y40" s="131">
        <f t="shared" si="7"/>
        <v>0</v>
      </c>
      <c r="Z40" s="183">
        <f t="shared" si="19"/>
        <v>0.41028865979381446</v>
      </c>
      <c r="AA40" s="134">
        <f t="shared" si="20"/>
        <v>0.38335051546391757</v>
      </c>
      <c r="AB40" s="190">
        <v>1</v>
      </c>
      <c r="AC40" s="190">
        <v>10</v>
      </c>
    </row>
    <row r="41" spans="2:29" s="187" customFormat="1" ht="42" hidden="1" x14ac:dyDescent="0.35">
      <c r="B41" s="114" t="str">
        <f t="shared" si="14"/>
        <v>Gas Appliances - Electric and Induction Ranges &amp; Heat Pump Electric DryersMixed Use</v>
      </c>
      <c r="C41" s="193" t="s">
        <v>205</v>
      </c>
      <c r="D41" s="194" t="s">
        <v>160</v>
      </c>
      <c r="E41" s="117">
        <v>0.01</v>
      </c>
      <c r="F41" s="117">
        <v>0.1</v>
      </c>
      <c r="G41" s="117">
        <v>0.05</v>
      </c>
      <c r="H41" s="117">
        <v>0.25</v>
      </c>
      <c r="I41" s="117">
        <f t="shared" si="15"/>
        <v>0.15</v>
      </c>
      <c r="J41" s="188">
        <f>VLOOKUP(D41,'Existing Building EUI'!$B$7:$E$16,3,FALSE)</f>
        <v>268</v>
      </c>
      <c r="K41" s="188">
        <f>VLOOKUP(D41,'Existing Building EUI'!$B$7:$E$16,4,FALSE)</f>
        <v>322</v>
      </c>
      <c r="L41" s="205">
        <v>1</v>
      </c>
      <c r="M41" s="199">
        <v>1</v>
      </c>
      <c r="N41" s="184">
        <v>0</v>
      </c>
      <c r="O41" s="134">
        <v>0</v>
      </c>
      <c r="P41" s="184">
        <v>0</v>
      </c>
      <c r="Q41" s="134">
        <v>0</v>
      </c>
      <c r="R41" s="199">
        <f t="shared" ref="R41:R45" si="21">(L41*0.02)/-2</f>
        <v>-0.01</v>
      </c>
      <c r="S41" s="199">
        <f t="shared" ref="S41:S45" si="22">(M41*0.15)/-2</f>
        <v>-7.4999999999999997E-2</v>
      </c>
      <c r="T41" s="131">
        <f t="shared" si="10"/>
        <v>0</v>
      </c>
      <c r="U41" s="131">
        <f t="shared" si="11"/>
        <v>0</v>
      </c>
      <c r="V41" s="131">
        <f t="shared" si="16"/>
        <v>324.68</v>
      </c>
      <c r="W41" s="131">
        <f t="shared" si="17"/>
        <v>342.1</v>
      </c>
      <c r="X41" s="131">
        <f t="shared" si="18"/>
        <v>0</v>
      </c>
      <c r="Y41" s="131">
        <f t="shared" si="7"/>
        <v>0</v>
      </c>
      <c r="Z41" s="183">
        <f t="shared" si="19"/>
        <v>0.44969491525423727</v>
      </c>
      <c r="AA41" s="134">
        <f t="shared" si="20"/>
        <v>0.42016949152542371</v>
      </c>
      <c r="AB41" s="190">
        <v>1</v>
      </c>
      <c r="AC41" s="190">
        <v>5</v>
      </c>
    </row>
    <row r="42" spans="2:29" s="187" customFormat="1" ht="42" hidden="1" x14ac:dyDescent="0.35">
      <c r="B42" s="114" t="str">
        <f t="shared" si="14"/>
        <v>Gas Appliances - Electric and Induction Ranges &amp; Heat Pump Electric DryersCondominium</v>
      </c>
      <c r="C42" s="193" t="s">
        <v>205</v>
      </c>
      <c r="D42" s="194" t="s">
        <v>161</v>
      </c>
      <c r="E42" s="117">
        <v>0.01</v>
      </c>
      <c r="F42" s="117">
        <v>0.1</v>
      </c>
      <c r="G42" s="117">
        <v>0.05</v>
      </c>
      <c r="H42" s="117">
        <v>0.2</v>
      </c>
      <c r="I42" s="117">
        <f t="shared" si="15"/>
        <v>0.125</v>
      </c>
      <c r="J42" s="188">
        <f>VLOOKUP(D42,'Existing Building EUI'!$B$7:$E$16,3,FALSE)</f>
        <v>215</v>
      </c>
      <c r="K42" s="188">
        <f>VLOOKUP(D42,'Existing Building EUI'!$B$7:$E$16,4,FALSE)</f>
        <v>93</v>
      </c>
      <c r="L42" s="205">
        <v>1</v>
      </c>
      <c r="M42" s="199">
        <v>1</v>
      </c>
      <c r="N42" s="184">
        <v>0</v>
      </c>
      <c r="O42" s="134">
        <v>0</v>
      </c>
      <c r="P42" s="184">
        <v>0</v>
      </c>
      <c r="Q42" s="134">
        <v>0</v>
      </c>
      <c r="R42" s="199">
        <f t="shared" si="21"/>
        <v>-0.01</v>
      </c>
      <c r="S42" s="199">
        <f t="shared" si="22"/>
        <v>-7.4999999999999997E-2</v>
      </c>
      <c r="T42" s="131">
        <f t="shared" si="10"/>
        <v>0</v>
      </c>
      <c r="U42" s="131">
        <f t="shared" si="11"/>
        <v>0</v>
      </c>
      <c r="V42" s="131">
        <f t="shared" si="16"/>
        <v>95.15</v>
      </c>
      <c r="W42" s="131">
        <f t="shared" si="17"/>
        <v>109.125</v>
      </c>
      <c r="X42" s="131">
        <f t="shared" si="18"/>
        <v>0</v>
      </c>
      <c r="Y42" s="131">
        <f t="shared" si="7"/>
        <v>0</v>
      </c>
      <c r="Z42" s="183">
        <f t="shared" si="19"/>
        <v>0.69107142857142856</v>
      </c>
      <c r="AA42" s="134">
        <f t="shared" si="20"/>
        <v>0.64569805194805197</v>
      </c>
      <c r="AB42" s="190">
        <v>1</v>
      </c>
      <c r="AC42" s="190">
        <v>5</v>
      </c>
    </row>
    <row r="43" spans="2:29" s="187" customFormat="1" ht="42" hidden="1" x14ac:dyDescent="0.35">
      <c r="B43" s="114" t="str">
        <f t="shared" si="14"/>
        <v>Gas Appliances - Electric and Induction Ranges &amp; Heat Pump Electric DryersLow Rise Rental Apartment</v>
      </c>
      <c r="C43" s="193" t="s">
        <v>205</v>
      </c>
      <c r="D43" s="194" t="s">
        <v>183</v>
      </c>
      <c r="E43" s="117">
        <v>0.01</v>
      </c>
      <c r="F43" s="117">
        <v>0.1</v>
      </c>
      <c r="G43" s="117">
        <v>0.05</v>
      </c>
      <c r="H43" s="117">
        <v>0.2</v>
      </c>
      <c r="I43" s="117">
        <f t="shared" si="15"/>
        <v>0.125</v>
      </c>
      <c r="J43" s="188">
        <f>VLOOKUP(D43,'Existing Building EUI'!$B$7:$E$16,3,FALSE)</f>
        <v>234</v>
      </c>
      <c r="K43" s="188">
        <f>VLOOKUP(D43,'Existing Building EUI'!$B$7:$E$16,4,FALSE)</f>
        <v>107</v>
      </c>
      <c r="L43" s="205">
        <v>1</v>
      </c>
      <c r="M43" s="199">
        <v>1</v>
      </c>
      <c r="N43" s="184">
        <v>0</v>
      </c>
      <c r="O43" s="134">
        <v>0</v>
      </c>
      <c r="P43" s="184">
        <v>0</v>
      </c>
      <c r="Q43" s="134">
        <v>0</v>
      </c>
      <c r="R43" s="199">
        <f t="shared" si="21"/>
        <v>-0.01</v>
      </c>
      <c r="S43" s="199">
        <f t="shared" si="22"/>
        <v>-7.4999999999999997E-2</v>
      </c>
      <c r="T43" s="131">
        <f t="shared" si="10"/>
        <v>0</v>
      </c>
      <c r="U43" s="131">
        <f t="shared" si="11"/>
        <v>0</v>
      </c>
      <c r="V43" s="131">
        <f t="shared" si="16"/>
        <v>109.34</v>
      </c>
      <c r="W43" s="131">
        <f t="shared" si="17"/>
        <v>124.55</v>
      </c>
      <c r="X43" s="131">
        <f t="shared" si="18"/>
        <v>0</v>
      </c>
      <c r="Y43" s="131">
        <f t="shared" si="7"/>
        <v>0</v>
      </c>
      <c r="Z43" s="183">
        <f t="shared" si="19"/>
        <v>0.67935483870967739</v>
      </c>
      <c r="AA43" s="134">
        <f t="shared" si="20"/>
        <v>0.63475073313782993</v>
      </c>
      <c r="AB43" s="190">
        <v>1</v>
      </c>
      <c r="AC43" s="190">
        <v>5</v>
      </c>
    </row>
    <row r="44" spans="2:29" s="187" customFormat="1" ht="42" hidden="1" x14ac:dyDescent="0.35">
      <c r="B44" s="114" t="str">
        <f t="shared" si="14"/>
        <v>Gas Appliances - Electric and Induction Ranges &amp; Heat Pump Electric DryersSingle Family Home Attached</v>
      </c>
      <c r="C44" s="193" t="s">
        <v>205</v>
      </c>
      <c r="D44" s="194" t="s">
        <v>182</v>
      </c>
      <c r="E44" s="117">
        <v>0.01</v>
      </c>
      <c r="F44" s="117">
        <v>0.1</v>
      </c>
      <c r="G44" s="117">
        <v>0.05</v>
      </c>
      <c r="H44" s="117">
        <v>0.2</v>
      </c>
      <c r="I44" s="117">
        <f t="shared" si="15"/>
        <v>0.125</v>
      </c>
      <c r="J44" s="188">
        <f>VLOOKUP(D44,'Existing Building EUI'!$B$7:$E$16,3,FALSE)</f>
        <v>147</v>
      </c>
      <c r="K44" s="188">
        <f>VLOOKUP(D44,'Existing Building EUI'!$B$7:$E$16,4,FALSE)</f>
        <v>43</v>
      </c>
      <c r="L44" s="205">
        <v>1</v>
      </c>
      <c r="M44" s="199">
        <v>1</v>
      </c>
      <c r="N44" s="184">
        <v>0</v>
      </c>
      <c r="O44" s="134">
        <v>0</v>
      </c>
      <c r="P44" s="184">
        <v>0</v>
      </c>
      <c r="Q44" s="134">
        <v>0</v>
      </c>
      <c r="R44" s="199">
        <f t="shared" si="21"/>
        <v>-0.01</v>
      </c>
      <c r="S44" s="199">
        <f t="shared" si="22"/>
        <v>-7.4999999999999997E-2</v>
      </c>
      <c r="T44" s="131">
        <f t="shared" si="10"/>
        <v>0</v>
      </c>
      <c r="U44" s="131">
        <f t="shared" si="11"/>
        <v>0</v>
      </c>
      <c r="V44" s="131">
        <f t="shared" si="16"/>
        <v>44.47</v>
      </c>
      <c r="W44" s="131">
        <f t="shared" si="17"/>
        <v>54.024999999999999</v>
      </c>
      <c r="X44" s="131">
        <f t="shared" si="18"/>
        <v>0</v>
      </c>
      <c r="Y44" s="131">
        <f t="shared" si="7"/>
        <v>0</v>
      </c>
      <c r="Z44" s="183">
        <f t="shared" si="19"/>
        <v>0.7659473684210526</v>
      </c>
      <c r="AA44" s="134">
        <f t="shared" si="20"/>
        <v>0.71565789473684205</v>
      </c>
      <c r="AB44" s="190">
        <v>1</v>
      </c>
      <c r="AC44" s="190">
        <v>5</v>
      </c>
    </row>
    <row r="45" spans="2:29" s="187" customFormat="1" ht="42" hidden="1" x14ac:dyDescent="0.35">
      <c r="B45" s="114" t="str">
        <f t="shared" si="14"/>
        <v>Gas Appliances - Electric and Induction Ranges &amp; Heat Pump Electric DryersSingle Family Home Detached</v>
      </c>
      <c r="C45" s="193" t="s">
        <v>205</v>
      </c>
      <c r="D45" s="194" t="s">
        <v>209</v>
      </c>
      <c r="E45" s="117">
        <v>0.01</v>
      </c>
      <c r="F45" s="117">
        <v>0.1</v>
      </c>
      <c r="G45" s="117">
        <v>0.05</v>
      </c>
      <c r="H45" s="117">
        <v>0.2</v>
      </c>
      <c r="I45" s="117">
        <f t="shared" si="15"/>
        <v>0.125</v>
      </c>
      <c r="J45" s="188">
        <f>VLOOKUP(D45,'Existing Building EUI'!$B$7:$E$16,3,FALSE)</f>
        <v>203</v>
      </c>
      <c r="K45" s="188">
        <f>VLOOKUP(D45,'Existing Building EUI'!$B$7:$E$16,4,FALSE)</f>
        <v>38</v>
      </c>
      <c r="L45" s="205">
        <v>1</v>
      </c>
      <c r="M45" s="199">
        <v>1</v>
      </c>
      <c r="N45" s="184">
        <v>0</v>
      </c>
      <c r="O45" s="134">
        <v>0</v>
      </c>
      <c r="P45" s="184">
        <v>0</v>
      </c>
      <c r="Q45" s="134">
        <v>0</v>
      </c>
      <c r="R45" s="199">
        <f t="shared" si="21"/>
        <v>-0.01</v>
      </c>
      <c r="S45" s="199">
        <f t="shared" si="22"/>
        <v>-7.4999999999999997E-2</v>
      </c>
      <c r="T45" s="131">
        <f t="shared" si="10"/>
        <v>0</v>
      </c>
      <c r="U45" s="131">
        <f t="shared" si="11"/>
        <v>0</v>
      </c>
      <c r="V45" s="131">
        <f t="shared" si="16"/>
        <v>40.03</v>
      </c>
      <c r="W45" s="131">
        <f t="shared" si="17"/>
        <v>53.225000000000001</v>
      </c>
      <c r="X45" s="131">
        <f t="shared" si="18"/>
        <v>0</v>
      </c>
      <c r="Y45" s="131">
        <f t="shared" si="7"/>
        <v>0</v>
      </c>
      <c r="Z45" s="183">
        <f t="shared" si="19"/>
        <v>0.83390041493775935</v>
      </c>
      <c r="AA45" s="134">
        <f t="shared" si="20"/>
        <v>0.779149377593361</v>
      </c>
      <c r="AB45" s="190">
        <v>1</v>
      </c>
      <c r="AC45" s="190">
        <v>5</v>
      </c>
    </row>
    <row r="46" spans="2:29" s="187" customFormat="1" ht="70" hidden="1" x14ac:dyDescent="0.35">
      <c r="B46" s="114" t="str">
        <f t="shared" si="14"/>
        <v>Heating, Cooling, Ventilation Systems  - Ground Source Heat Pumps + Energy Recovery Ventilators + Electric HumidifierEducational Facility</v>
      </c>
      <c r="C46" s="195" t="s">
        <v>293</v>
      </c>
      <c r="D46" s="194" t="s">
        <v>179</v>
      </c>
      <c r="E46" s="117">
        <v>0.22</v>
      </c>
      <c r="F46" s="117">
        <v>0.4</v>
      </c>
      <c r="G46" s="117">
        <v>0.3</v>
      </c>
      <c r="H46" s="117">
        <v>0.75</v>
      </c>
      <c r="I46" s="117">
        <f t="shared" si="15"/>
        <v>0.52500000000000002</v>
      </c>
      <c r="J46" s="188">
        <f>VLOOKUP(D46,'Existing Building EUI'!$B$7:$E$16,3,FALSE)</f>
        <v>201</v>
      </c>
      <c r="K46" s="188">
        <f>VLOOKUP(D46,'Existing Building EUI'!$B$7:$E$16,4,FALSE)</f>
        <v>284</v>
      </c>
      <c r="L46" s="189">
        <v>0</v>
      </c>
      <c r="M46" s="117">
        <v>0</v>
      </c>
      <c r="N46" s="189">
        <v>0</v>
      </c>
      <c r="O46" s="117">
        <v>0</v>
      </c>
      <c r="P46" s="189">
        <v>0.8</v>
      </c>
      <c r="Q46" s="117">
        <v>0.98</v>
      </c>
      <c r="R46" s="133">
        <f>P46/-3</f>
        <v>-0.26666666666666666</v>
      </c>
      <c r="S46" s="133">
        <f>Q46/-3</f>
        <v>-0.32666666666666666</v>
      </c>
      <c r="T46" s="131">
        <f t="shared" ref="T46:T77" si="23">J46-(J46*L46)</f>
        <v>201</v>
      </c>
      <c r="U46" s="131">
        <f t="shared" ref="U46:U77" si="24">J46-(J46*M46)</f>
        <v>201</v>
      </c>
      <c r="V46" s="131">
        <f t="shared" si="16"/>
        <v>337.6</v>
      </c>
      <c r="W46" s="131">
        <f t="shared" si="17"/>
        <v>349.65999999999997</v>
      </c>
      <c r="X46" s="131">
        <f t="shared" si="18"/>
        <v>-160.80000000000001</v>
      </c>
      <c r="Y46" s="131">
        <f t="shared" si="7"/>
        <v>196.98</v>
      </c>
      <c r="Z46" s="183">
        <f t="shared" si="19"/>
        <v>0.22103092783505152</v>
      </c>
      <c r="AA46" s="134">
        <f t="shared" si="20"/>
        <v>-0.54152577319587625</v>
      </c>
      <c r="AB46" s="190">
        <v>11</v>
      </c>
      <c r="AC46" s="190">
        <v>25</v>
      </c>
    </row>
    <row r="47" spans="2:29" s="187" customFormat="1" ht="56" hidden="1" x14ac:dyDescent="0.35">
      <c r="B47" s="114" t="str">
        <f t="shared" si="14"/>
        <v>Heating, Cooling, Ventilation Systems - Air Source Heat Pumps + Dedicated Outdoor AirMid Rise Office</v>
      </c>
      <c r="C47" s="195" t="s">
        <v>287</v>
      </c>
      <c r="D47" s="194" t="s">
        <v>178</v>
      </c>
      <c r="E47" s="117">
        <v>0.21</v>
      </c>
      <c r="F47" s="117">
        <v>0.35</v>
      </c>
      <c r="G47" s="117">
        <v>0.3</v>
      </c>
      <c r="H47" s="117">
        <v>0.75</v>
      </c>
      <c r="I47" s="117">
        <f t="shared" si="15"/>
        <v>0.52500000000000002</v>
      </c>
      <c r="J47" s="188">
        <f>VLOOKUP(D47,'Existing Building EUI'!$B$7:$E$16,3,FALSE)</f>
        <v>270</v>
      </c>
      <c r="K47" s="188">
        <f>VLOOKUP(D47,'Existing Building EUI'!$B$7:$E$16,4,FALSE)</f>
        <v>219</v>
      </c>
      <c r="L47" s="189">
        <v>0</v>
      </c>
      <c r="M47" s="117">
        <v>0</v>
      </c>
      <c r="N47" s="189">
        <v>0</v>
      </c>
      <c r="O47" s="117">
        <v>0</v>
      </c>
      <c r="P47" s="189">
        <v>0.9</v>
      </c>
      <c r="Q47" s="117">
        <v>0.97</v>
      </c>
      <c r="R47" s="133">
        <f>P47/-2</f>
        <v>-0.45</v>
      </c>
      <c r="S47" s="133">
        <f>Q47/-2</f>
        <v>-0.48499999999999999</v>
      </c>
      <c r="T47" s="131">
        <f t="shared" si="23"/>
        <v>270</v>
      </c>
      <c r="U47" s="131">
        <f t="shared" si="24"/>
        <v>270</v>
      </c>
      <c r="V47" s="131">
        <f t="shared" si="16"/>
        <v>340.5</v>
      </c>
      <c r="W47" s="131">
        <f t="shared" si="17"/>
        <v>349.95</v>
      </c>
      <c r="X47" s="131">
        <f t="shared" si="18"/>
        <v>-243</v>
      </c>
      <c r="Y47" s="131">
        <f t="shared" si="7"/>
        <v>261.89999999999998</v>
      </c>
      <c r="Z47" s="183">
        <f t="shared" si="19"/>
        <v>0.24846625766871167</v>
      </c>
      <c r="AA47" s="134">
        <f t="shared" si="20"/>
        <v>-0.80337423312883438</v>
      </c>
      <c r="AB47" s="190">
        <v>1</v>
      </c>
      <c r="AC47" s="190">
        <v>10</v>
      </c>
    </row>
    <row r="48" spans="2:29" s="187" customFormat="1" ht="56" hidden="1" x14ac:dyDescent="0.35">
      <c r="B48" s="114" t="str">
        <f t="shared" si="14"/>
        <v>Heating, Cooling, Ventilation Systems - Air Source Heat Pumps + Dedicated Outdoor AirCondominium</v>
      </c>
      <c r="C48" s="195" t="s">
        <v>287</v>
      </c>
      <c r="D48" s="194" t="s">
        <v>161</v>
      </c>
      <c r="E48" s="117">
        <v>0.32</v>
      </c>
      <c r="F48" s="117">
        <v>0.5</v>
      </c>
      <c r="G48" s="117">
        <v>0.21</v>
      </c>
      <c r="H48" s="117">
        <v>0.3</v>
      </c>
      <c r="I48" s="117">
        <f t="shared" si="15"/>
        <v>0.255</v>
      </c>
      <c r="J48" s="188">
        <f>VLOOKUP(D48,'Existing Building EUI'!$B$7:$E$16,3,FALSE)</f>
        <v>215</v>
      </c>
      <c r="K48" s="188">
        <f>VLOOKUP(D48,'Existing Building EUI'!$B$7:$E$16,4,FALSE)</f>
        <v>93</v>
      </c>
      <c r="L48" s="189">
        <v>0</v>
      </c>
      <c r="M48" s="117">
        <v>0</v>
      </c>
      <c r="N48" s="189">
        <v>0</v>
      </c>
      <c r="O48" s="117">
        <v>0</v>
      </c>
      <c r="P48" s="189">
        <v>0.8</v>
      </c>
      <c r="Q48" s="117">
        <v>0.95</v>
      </c>
      <c r="R48" s="133">
        <f t="shared" ref="R48:R51" si="25">P48/-2</f>
        <v>-0.4</v>
      </c>
      <c r="S48" s="133">
        <f t="shared" ref="S48:S51" si="26">Q48/-2</f>
        <v>-0.47499999999999998</v>
      </c>
      <c r="T48" s="131">
        <f t="shared" si="23"/>
        <v>215</v>
      </c>
      <c r="U48" s="131">
        <f t="shared" si="24"/>
        <v>215</v>
      </c>
      <c r="V48" s="131">
        <f t="shared" si="16"/>
        <v>179</v>
      </c>
      <c r="W48" s="131">
        <f t="shared" si="17"/>
        <v>195.125</v>
      </c>
      <c r="X48" s="131">
        <f t="shared" si="18"/>
        <v>-172</v>
      </c>
      <c r="Y48" s="131">
        <f t="shared" si="7"/>
        <v>204.25</v>
      </c>
      <c r="Z48" s="183">
        <f t="shared" si="19"/>
        <v>0.2792207792207792</v>
      </c>
      <c r="AA48" s="134">
        <f t="shared" si="20"/>
        <v>-0.99472402597402598</v>
      </c>
      <c r="AB48" s="190">
        <v>1</v>
      </c>
      <c r="AC48" s="190">
        <v>10</v>
      </c>
    </row>
    <row r="49" spans="2:30" s="187" customFormat="1" ht="56" hidden="1" x14ac:dyDescent="0.35">
      <c r="B49" s="114" t="str">
        <f t="shared" si="14"/>
        <v>Heating, Cooling, Ventilation Systems - Air Source Heat Pumps + Energy Recovery VentilatorsMixed Use</v>
      </c>
      <c r="C49" s="195" t="s">
        <v>207</v>
      </c>
      <c r="D49" s="194" t="s">
        <v>160</v>
      </c>
      <c r="E49" s="117">
        <v>0.22</v>
      </c>
      <c r="F49" s="117">
        <v>0.4</v>
      </c>
      <c r="G49" s="117">
        <v>0.2</v>
      </c>
      <c r="H49" s="117">
        <v>0.4</v>
      </c>
      <c r="I49" s="117">
        <f t="shared" si="15"/>
        <v>0.30000000000000004</v>
      </c>
      <c r="J49" s="188">
        <f>VLOOKUP(D49,'Existing Building EUI'!$B$7:$E$16,3,FALSE)</f>
        <v>268</v>
      </c>
      <c r="K49" s="188">
        <f>VLOOKUP(D49,'Existing Building EUI'!$B$7:$E$16,4,FALSE)</f>
        <v>322</v>
      </c>
      <c r="L49" s="189">
        <v>0</v>
      </c>
      <c r="M49" s="117">
        <v>0</v>
      </c>
      <c r="N49" s="189">
        <v>0</v>
      </c>
      <c r="O49" s="117">
        <v>0</v>
      </c>
      <c r="P49" s="189">
        <v>0.7</v>
      </c>
      <c r="Q49" s="117">
        <v>0.8</v>
      </c>
      <c r="R49" s="133">
        <f t="shared" si="25"/>
        <v>-0.35</v>
      </c>
      <c r="S49" s="133">
        <f t="shared" si="26"/>
        <v>-0.4</v>
      </c>
      <c r="T49" s="131">
        <f t="shared" si="23"/>
        <v>268</v>
      </c>
      <c r="U49" s="131">
        <f t="shared" si="24"/>
        <v>268</v>
      </c>
      <c r="V49" s="131">
        <f t="shared" si="16"/>
        <v>415.8</v>
      </c>
      <c r="W49" s="131">
        <f t="shared" si="17"/>
        <v>429.2</v>
      </c>
      <c r="X49" s="131">
        <f t="shared" si="18"/>
        <v>-187.6</v>
      </c>
      <c r="Y49" s="131">
        <f t="shared" si="7"/>
        <v>214.4</v>
      </c>
      <c r="Z49" s="183">
        <f t="shared" si="19"/>
        <v>0.15898305084745773</v>
      </c>
      <c r="AA49" s="134">
        <f t="shared" si="20"/>
        <v>-0.54508474576271193</v>
      </c>
      <c r="AB49" s="190">
        <v>1</v>
      </c>
      <c r="AC49" s="190">
        <v>10</v>
      </c>
    </row>
    <row r="50" spans="2:30" s="187" customFormat="1" ht="56" hidden="1" x14ac:dyDescent="0.35">
      <c r="B50" s="114" t="str">
        <f t="shared" si="14"/>
        <v>Heating, Cooling, Ventilation Systems - Air Source Heat Pumps + Energy Recovery VentilatorsLow Rise Rental Apartment</v>
      </c>
      <c r="C50" s="193" t="s">
        <v>207</v>
      </c>
      <c r="D50" s="194" t="s">
        <v>183</v>
      </c>
      <c r="E50" s="117">
        <v>0.21</v>
      </c>
      <c r="F50" s="117">
        <v>0.3</v>
      </c>
      <c r="G50" s="117">
        <v>0.31</v>
      </c>
      <c r="H50" s="117">
        <v>0.4</v>
      </c>
      <c r="I50" s="117">
        <f t="shared" si="15"/>
        <v>0.35499999999999998</v>
      </c>
      <c r="J50" s="188">
        <f>VLOOKUP(D50,'Existing Building EUI'!$B$7:$E$16,3,FALSE)</f>
        <v>234</v>
      </c>
      <c r="K50" s="188">
        <f>VLOOKUP(D50,'Existing Building EUI'!$B$7:$E$16,4,FALSE)</f>
        <v>107</v>
      </c>
      <c r="L50" s="189">
        <v>0</v>
      </c>
      <c r="M50" s="117">
        <v>0</v>
      </c>
      <c r="N50" s="189">
        <v>0</v>
      </c>
      <c r="O50" s="117">
        <v>0</v>
      </c>
      <c r="P50" s="189">
        <v>0.7</v>
      </c>
      <c r="Q50" s="117">
        <v>0.8</v>
      </c>
      <c r="R50" s="133">
        <f t="shared" si="25"/>
        <v>-0.35</v>
      </c>
      <c r="S50" s="133">
        <f t="shared" si="26"/>
        <v>-0.4</v>
      </c>
      <c r="T50" s="131">
        <f t="shared" si="23"/>
        <v>234</v>
      </c>
      <c r="U50" s="131">
        <f t="shared" si="24"/>
        <v>234</v>
      </c>
      <c r="V50" s="131">
        <f t="shared" si="16"/>
        <v>188.89999999999998</v>
      </c>
      <c r="W50" s="131">
        <f t="shared" si="17"/>
        <v>200.60000000000002</v>
      </c>
      <c r="X50" s="131">
        <f t="shared" si="18"/>
        <v>-163.79999999999998</v>
      </c>
      <c r="Y50" s="131">
        <f t="shared" si="7"/>
        <v>187.20000000000002</v>
      </c>
      <c r="Z50" s="183">
        <f t="shared" si="19"/>
        <v>0.24017595307917883</v>
      </c>
      <c r="AA50" s="134">
        <f t="shared" si="20"/>
        <v>-0.823460410557185</v>
      </c>
      <c r="AB50" s="190">
        <v>11</v>
      </c>
      <c r="AC50" s="190">
        <v>25</v>
      </c>
    </row>
    <row r="51" spans="2:30" s="187" customFormat="1" ht="70" hidden="1" x14ac:dyDescent="0.35">
      <c r="B51" s="114" t="str">
        <f t="shared" si="14"/>
        <v>Heating, Cooling, Ventilation Systems - Air Source Heat Pumps + Energy Recovery Ventilators + Electric HumidifierEducational Facility</v>
      </c>
      <c r="C51" s="195" t="s">
        <v>292</v>
      </c>
      <c r="D51" s="194" t="s">
        <v>179</v>
      </c>
      <c r="E51" s="117">
        <v>0.22</v>
      </c>
      <c r="F51" s="117">
        <v>0.4</v>
      </c>
      <c r="G51" s="117">
        <v>0.3</v>
      </c>
      <c r="H51" s="117">
        <v>0.75</v>
      </c>
      <c r="I51" s="117">
        <f t="shared" si="15"/>
        <v>0.52500000000000002</v>
      </c>
      <c r="J51" s="188">
        <f>VLOOKUP(D51,'Existing Building EUI'!$B$7:$E$16,3,FALSE)</f>
        <v>201</v>
      </c>
      <c r="K51" s="188">
        <f>VLOOKUP(D51,'Existing Building EUI'!$B$7:$E$16,4,FALSE)</f>
        <v>284</v>
      </c>
      <c r="L51" s="189">
        <v>0</v>
      </c>
      <c r="M51" s="117">
        <v>0</v>
      </c>
      <c r="N51" s="189">
        <v>0</v>
      </c>
      <c r="O51" s="117">
        <v>0</v>
      </c>
      <c r="P51" s="189">
        <v>0.8</v>
      </c>
      <c r="Q51" s="117">
        <v>0.98</v>
      </c>
      <c r="R51" s="133">
        <f t="shared" si="25"/>
        <v>-0.4</v>
      </c>
      <c r="S51" s="133">
        <f t="shared" si="26"/>
        <v>-0.49</v>
      </c>
      <c r="T51" s="131">
        <f t="shared" si="23"/>
        <v>201</v>
      </c>
      <c r="U51" s="131">
        <f t="shared" si="24"/>
        <v>201</v>
      </c>
      <c r="V51" s="131">
        <f t="shared" si="16"/>
        <v>364.4</v>
      </c>
      <c r="W51" s="131">
        <f t="shared" si="17"/>
        <v>382.49</v>
      </c>
      <c r="X51" s="131">
        <f t="shared" si="18"/>
        <v>-160.80000000000001</v>
      </c>
      <c r="Y51" s="131">
        <f t="shared" si="7"/>
        <v>196.98</v>
      </c>
      <c r="Z51" s="183">
        <f t="shared" si="19"/>
        <v>0.16577319587628872</v>
      </c>
      <c r="AA51" s="134">
        <f t="shared" si="20"/>
        <v>-0.60921649484536089</v>
      </c>
      <c r="AB51" s="190">
        <v>11</v>
      </c>
      <c r="AC51" s="190">
        <v>25</v>
      </c>
    </row>
    <row r="52" spans="2:30" s="187" customFormat="1" ht="56" hidden="1" x14ac:dyDescent="0.35">
      <c r="B52" s="114" t="str">
        <f t="shared" si="14"/>
        <v>Heating, Cooling, Ventilation Systems - Low Carbon District Energy System + Dedicated Outdoor AirMid Rise Office</v>
      </c>
      <c r="C52" s="245" t="s">
        <v>342</v>
      </c>
      <c r="D52" s="194" t="s">
        <v>178</v>
      </c>
      <c r="E52" s="117">
        <v>0.21</v>
      </c>
      <c r="F52" s="117">
        <v>0.35</v>
      </c>
      <c r="G52" s="117">
        <v>0.3</v>
      </c>
      <c r="H52" s="117">
        <v>0.75</v>
      </c>
      <c r="I52" s="117">
        <f t="shared" si="15"/>
        <v>0.52500000000000002</v>
      </c>
      <c r="J52" s="188">
        <f>VLOOKUP(D52,'Existing Building EUI'!$B$7:$E$16,3,FALSE)</f>
        <v>270</v>
      </c>
      <c r="K52" s="188">
        <f>VLOOKUP(D52,'Existing Building EUI'!$B$7:$E$16,4,FALSE)</f>
        <v>219</v>
      </c>
      <c r="L52" s="189">
        <v>0</v>
      </c>
      <c r="M52" s="117">
        <v>0</v>
      </c>
      <c r="N52" s="189">
        <v>0</v>
      </c>
      <c r="O52" s="117">
        <v>0</v>
      </c>
      <c r="P52" s="189">
        <v>0</v>
      </c>
      <c r="Q52" s="117">
        <v>0</v>
      </c>
      <c r="R52" s="117">
        <v>0</v>
      </c>
      <c r="S52" s="117">
        <v>0</v>
      </c>
      <c r="T52" s="131">
        <f t="shared" si="23"/>
        <v>270</v>
      </c>
      <c r="U52" s="131">
        <f t="shared" si="24"/>
        <v>270</v>
      </c>
      <c r="V52" s="131">
        <f t="shared" si="16"/>
        <v>219</v>
      </c>
      <c r="W52" s="131">
        <f t="shared" si="17"/>
        <v>219</v>
      </c>
      <c r="X52" s="131">
        <f t="shared" si="18"/>
        <v>0</v>
      </c>
      <c r="Y52" s="131">
        <f>(Q52*J52)*-1</f>
        <v>0</v>
      </c>
      <c r="Z52" s="183">
        <f t="shared" si="19"/>
        <v>0</v>
      </c>
      <c r="AA52" s="134">
        <f t="shared" si="20"/>
        <v>0</v>
      </c>
      <c r="AB52" s="190">
        <v>1</v>
      </c>
      <c r="AC52" s="190">
        <v>10</v>
      </c>
    </row>
    <row r="53" spans="2:30" s="187" customFormat="1" ht="56" hidden="1" x14ac:dyDescent="0.35">
      <c r="B53" s="114" t="str">
        <f t="shared" si="14"/>
        <v>Heating, Cooling, Ventilation Systems - Low Carbon District Energy System + Dedicated Outdoor AirCondominium</v>
      </c>
      <c r="C53" s="245" t="s">
        <v>342</v>
      </c>
      <c r="D53" s="194" t="s">
        <v>161</v>
      </c>
      <c r="E53" s="117">
        <v>0.32</v>
      </c>
      <c r="F53" s="117">
        <v>0.5</v>
      </c>
      <c r="G53" s="117">
        <v>0.21</v>
      </c>
      <c r="H53" s="117">
        <v>0.3</v>
      </c>
      <c r="I53" s="117">
        <f t="shared" si="15"/>
        <v>0.255</v>
      </c>
      <c r="J53" s="188">
        <f>VLOOKUP(D53,'Existing Building EUI'!$B$7:$E$16,3,FALSE)</f>
        <v>215</v>
      </c>
      <c r="K53" s="188">
        <f>VLOOKUP(D53,'Existing Building EUI'!$B$7:$E$16,4,FALSE)</f>
        <v>93</v>
      </c>
      <c r="L53" s="189">
        <v>0</v>
      </c>
      <c r="M53" s="117">
        <v>0</v>
      </c>
      <c r="N53" s="189">
        <v>0</v>
      </c>
      <c r="O53" s="117">
        <v>0</v>
      </c>
      <c r="P53" s="189">
        <v>0</v>
      </c>
      <c r="Q53" s="117">
        <v>0</v>
      </c>
      <c r="R53" s="117">
        <v>0</v>
      </c>
      <c r="S53" s="117">
        <v>0</v>
      </c>
      <c r="T53" s="131">
        <f t="shared" si="23"/>
        <v>215</v>
      </c>
      <c r="U53" s="131">
        <f t="shared" si="24"/>
        <v>215</v>
      </c>
      <c r="V53" s="131">
        <f t="shared" si="16"/>
        <v>93</v>
      </c>
      <c r="W53" s="131">
        <f t="shared" si="17"/>
        <v>93</v>
      </c>
      <c r="X53" s="131">
        <f t="shared" si="18"/>
        <v>0</v>
      </c>
      <c r="Y53" s="131">
        <f>(Q53*J53)*-1</f>
        <v>0</v>
      </c>
      <c r="Z53" s="183">
        <f t="shared" si="19"/>
        <v>0</v>
      </c>
      <c r="AA53" s="134">
        <f t="shared" si="20"/>
        <v>0</v>
      </c>
      <c r="AB53" s="190">
        <v>1</v>
      </c>
      <c r="AC53" s="190">
        <v>10</v>
      </c>
    </row>
    <row r="54" spans="2:30" s="187" customFormat="1" ht="56" hidden="1" x14ac:dyDescent="0.35">
      <c r="B54" s="114" t="str">
        <f t="shared" si="14"/>
        <v>Heating, Cooling, Ventilation Systems - Low Carbon District Energy System + Energy Recovery VentilatorsMixed Use</v>
      </c>
      <c r="C54" s="245" t="s">
        <v>344</v>
      </c>
      <c r="D54" s="194" t="s">
        <v>160</v>
      </c>
      <c r="E54" s="117">
        <v>0.22</v>
      </c>
      <c r="F54" s="117">
        <v>0.4</v>
      </c>
      <c r="G54" s="117">
        <v>0.2</v>
      </c>
      <c r="H54" s="117">
        <v>0.4</v>
      </c>
      <c r="I54" s="117">
        <f t="shared" si="15"/>
        <v>0.30000000000000004</v>
      </c>
      <c r="J54" s="188">
        <f>VLOOKUP(D54,'Existing Building EUI'!$B$7:$E$16,3,FALSE)</f>
        <v>268</v>
      </c>
      <c r="K54" s="188">
        <f>VLOOKUP(D54,'Existing Building EUI'!$B$7:$E$16,4,FALSE)</f>
        <v>322</v>
      </c>
      <c r="L54" s="189">
        <v>0</v>
      </c>
      <c r="M54" s="117">
        <v>0</v>
      </c>
      <c r="N54" s="189">
        <v>0</v>
      </c>
      <c r="O54" s="117">
        <v>0</v>
      </c>
      <c r="P54" s="189">
        <v>0</v>
      </c>
      <c r="Q54" s="117">
        <v>0</v>
      </c>
      <c r="R54" s="117">
        <v>0</v>
      </c>
      <c r="S54" s="117">
        <v>0</v>
      </c>
      <c r="T54" s="131">
        <f t="shared" si="23"/>
        <v>268</v>
      </c>
      <c r="U54" s="131">
        <f t="shared" si="24"/>
        <v>268</v>
      </c>
      <c r="V54" s="131">
        <f t="shared" si="16"/>
        <v>322</v>
      </c>
      <c r="W54" s="131">
        <f t="shared" si="17"/>
        <v>322</v>
      </c>
      <c r="X54" s="131">
        <f t="shared" si="18"/>
        <v>0</v>
      </c>
      <c r="Y54" s="131">
        <f>(Q54*J54)*-1</f>
        <v>0</v>
      </c>
      <c r="Z54" s="183">
        <f t="shared" si="19"/>
        <v>0</v>
      </c>
      <c r="AA54" s="134">
        <f t="shared" si="20"/>
        <v>0</v>
      </c>
      <c r="AB54" s="190">
        <v>1</v>
      </c>
      <c r="AC54" s="190">
        <v>10</v>
      </c>
    </row>
    <row r="55" spans="2:30" s="187" customFormat="1" ht="56" hidden="1" x14ac:dyDescent="0.35">
      <c r="B55" s="114" t="str">
        <f t="shared" si="14"/>
        <v>Heating, Cooling, Ventilation Systems - Low Carbon District Energy System + Energy Recovery VentilatorsLow Rise Rental Apartment</v>
      </c>
      <c r="C55" s="245" t="s">
        <v>344</v>
      </c>
      <c r="D55" s="194" t="s">
        <v>183</v>
      </c>
      <c r="E55" s="117">
        <v>0.21</v>
      </c>
      <c r="F55" s="117">
        <v>0.3</v>
      </c>
      <c r="G55" s="117">
        <v>0.31</v>
      </c>
      <c r="H55" s="117">
        <v>0.4</v>
      </c>
      <c r="I55" s="117">
        <f t="shared" si="15"/>
        <v>0.35499999999999998</v>
      </c>
      <c r="J55" s="188">
        <f>VLOOKUP(D55,'Existing Building EUI'!$B$7:$E$16,3,FALSE)</f>
        <v>234</v>
      </c>
      <c r="K55" s="188">
        <f>VLOOKUP(D55,'Existing Building EUI'!$B$7:$E$16,4,FALSE)</f>
        <v>107</v>
      </c>
      <c r="L55" s="189">
        <v>0</v>
      </c>
      <c r="M55" s="117">
        <v>0</v>
      </c>
      <c r="N55" s="189">
        <v>0</v>
      </c>
      <c r="O55" s="117">
        <v>0</v>
      </c>
      <c r="P55" s="189">
        <v>0</v>
      </c>
      <c r="Q55" s="117">
        <v>0</v>
      </c>
      <c r="R55" s="117">
        <v>0</v>
      </c>
      <c r="S55" s="117">
        <v>0</v>
      </c>
      <c r="T55" s="131">
        <f t="shared" si="23"/>
        <v>234</v>
      </c>
      <c r="U55" s="131">
        <f t="shared" si="24"/>
        <v>234</v>
      </c>
      <c r="V55" s="131">
        <f t="shared" si="16"/>
        <v>107</v>
      </c>
      <c r="W55" s="131">
        <f t="shared" si="17"/>
        <v>107</v>
      </c>
      <c r="X55" s="131">
        <f t="shared" si="18"/>
        <v>0</v>
      </c>
      <c r="Y55" s="131">
        <f>(Q55*J55)*-1</f>
        <v>0</v>
      </c>
      <c r="Z55" s="183">
        <f t="shared" si="19"/>
        <v>0</v>
      </c>
      <c r="AA55" s="134">
        <f t="shared" si="20"/>
        <v>0</v>
      </c>
      <c r="AB55" s="190">
        <v>11</v>
      </c>
      <c r="AC55" s="190">
        <v>25</v>
      </c>
    </row>
    <row r="56" spans="2:30" s="187" customFormat="1" ht="70" hidden="1" x14ac:dyDescent="0.35">
      <c r="B56" s="114" t="str">
        <f t="shared" si="14"/>
        <v>Heating, Cooling, Ventilation Systems - Low Carbon District Energy System + Energy Recovery Ventilators + Electric HumidifierEducational Facility</v>
      </c>
      <c r="C56" s="245" t="s">
        <v>343</v>
      </c>
      <c r="D56" s="194" t="s">
        <v>179</v>
      </c>
      <c r="E56" s="117">
        <v>0.22</v>
      </c>
      <c r="F56" s="117">
        <v>0.4</v>
      </c>
      <c r="G56" s="117">
        <v>0.3</v>
      </c>
      <c r="H56" s="117">
        <v>0.75</v>
      </c>
      <c r="I56" s="117">
        <f t="shared" si="15"/>
        <v>0.52500000000000002</v>
      </c>
      <c r="J56" s="188">
        <f>VLOOKUP(D56,'Existing Building EUI'!$B$7:$E$16,3,FALSE)</f>
        <v>201</v>
      </c>
      <c r="K56" s="188">
        <f>VLOOKUP(D56,'Existing Building EUI'!$B$7:$E$16,4,FALSE)</f>
        <v>284</v>
      </c>
      <c r="L56" s="189">
        <v>0</v>
      </c>
      <c r="M56" s="117">
        <v>0</v>
      </c>
      <c r="N56" s="189">
        <v>0</v>
      </c>
      <c r="O56" s="117">
        <v>0</v>
      </c>
      <c r="P56" s="189">
        <v>0</v>
      </c>
      <c r="Q56" s="117">
        <v>0</v>
      </c>
      <c r="R56" s="117">
        <v>0</v>
      </c>
      <c r="S56" s="117">
        <v>0</v>
      </c>
      <c r="T56" s="131">
        <f t="shared" si="23"/>
        <v>201</v>
      </c>
      <c r="U56" s="131">
        <f t="shared" si="24"/>
        <v>201</v>
      </c>
      <c r="V56" s="131">
        <f t="shared" si="16"/>
        <v>284</v>
      </c>
      <c r="W56" s="131">
        <f t="shared" si="17"/>
        <v>284</v>
      </c>
      <c r="X56" s="131">
        <f t="shared" si="18"/>
        <v>0</v>
      </c>
      <c r="Y56" s="131">
        <f>(Q56*J56)*-1</f>
        <v>0</v>
      </c>
      <c r="Z56" s="183">
        <f t="shared" si="19"/>
        <v>0</v>
      </c>
      <c r="AA56" s="134">
        <f t="shared" si="20"/>
        <v>0</v>
      </c>
      <c r="AB56" s="190">
        <v>11</v>
      </c>
      <c r="AC56" s="190">
        <v>25</v>
      </c>
    </row>
    <row r="57" spans="2:30" s="187" customFormat="1" ht="56" hidden="1" x14ac:dyDescent="0.35">
      <c r="B57" s="114" t="str">
        <f t="shared" si="14"/>
        <v>Heating, Cooling, Ventilation Systems - Ground Source Heat Pumps + Dedicated Outdoor AirMid Rise Office</v>
      </c>
      <c r="C57" s="195" t="s">
        <v>288</v>
      </c>
      <c r="D57" s="194" t="s">
        <v>178</v>
      </c>
      <c r="E57" s="117">
        <v>0.21</v>
      </c>
      <c r="F57" s="117">
        <v>0.35</v>
      </c>
      <c r="G57" s="117">
        <v>0.3</v>
      </c>
      <c r="H57" s="117">
        <v>0.75</v>
      </c>
      <c r="I57" s="117">
        <f t="shared" si="15"/>
        <v>0.52500000000000002</v>
      </c>
      <c r="J57" s="188">
        <f>VLOOKUP(D57,'Existing Building EUI'!$B$7:$E$16,3,FALSE)</f>
        <v>270</v>
      </c>
      <c r="K57" s="188">
        <f>VLOOKUP(D57,'Existing Building EUI'!$B$7:$E$16,4,FALSE)</f>
        <v>219</v>
      </c>
      <c r="L57" s="189">
        <v>0</v>
      </c>
      <c r="M57" s="117">
        <v>0</v>
      </c>
      <c r="N57" s="189">
        <v>0</v>
      </c>
      <c r="O57" s="117">
        <v>0</v>
      </c>
      <c r="P57" s="189">
        <v>0.9</v>
      </c>
      <c r="Q57" s="117">
        <v>0.97</v>
      </c>
      <c r="R57" s="133">
        <f t="shared" ref="R57:R60" si="27">P57/-3</f>
        <v>-0.3</v>
      </c>
      <c r="S57" s="133">
        <f t="shared" ref="S57:S60" si="28">Q57/-3</f>
        <v>-0.32333333333333331</v>
      </c>
      <c r="T57" s="131">
        <f t="shared" si="23"/>
        <v>270</v>
      </c>
      <c r="U57" s="131">
        <f t="shared" si="24"/>
        <v>270</v>
      </c>
      <c r="V57" s="131">
        <f t="shared" si="16"/>
        <v>300</v>
      </c>
      <c r="W57" s="131">
        <f t="shared" si="17"/>
        <v>306.3</v>
      </c>
      <c r="X57" s="131">
        <f t="shared" si="18"/>
        <v>-243</v>
      </c>
      <c r="Y57" s="131">
        <f t="shared" ref="Y57:Y91" si="29">Q57*J57</f>
        <v>261.89999999999998</v>
      </c>
      <c r="Z57" s="183">
        <f t="shared" si="19"/>
        <v>0.33128834355828218</v>
      </c>
      <c r="AA57" s="134">
        <f t="shared" si="20"/>
        <v>-0.71411042944785263</v>
      </c>
      <c r="AB57" s="190">
        <v>1</v>
      </c>
      <c r="AC57" s="190">
        <v>10</v>
      </c>
    </row>
    <row r="58" spans="2:30" s="187" customFormat="1" ht="56" hidden="1" x14ac:dyDescent="0.35">
      <c r="B58" s="114" t="str">
        <f t="shared" si="14"/>
        <v>Heating, Cooling, Ventilation Systems - Ground Source Heat Pumps + Dedicated Outdoor AirCondominium</v>
      </c>
      <c r="C58" s="195" t="s">
        <v>288</v>
      </c>
      <c r="D58" s="194" t="s">
        <v>161</v>
      </c>
      <c r="E58" s="117">
        <v>0.32</v>
      </c>
      <c r="F58" s="117">
        <v>0.5</v>
      </c>
      <c r="G58" s="117">
        <v>0.21</v>
      </c>
      <c r="H58" s="117">
        <v>0.3</v>
      </c>
      <c r="I58" s="117">
        <f t="shared" si="15"/>
        <v>0.255</v>
      </c>
      <c r="J58" s="188">
        <f>VLOOKUP(D58,'Existing Building EUI'!$B$7:$E$16,3,FALSE)</f>
        <v>215</v>
      </c>
      <c r="K58" s="188">
        <f>VLOOKUP(D58,'Existing Building EUI'!$B$7:$E$16,4,FALSE)</f>
        <v>93</v>
      </c>
      <c r="L58" s="189">
        <v>0</v>
      </c>
      <c r="M58" s="117">
        <v>0</v>
      </c>
      <c r="N58" s="189">
        <v>0</v>
      </c>
      <c r="O58" s="117">
        <v>0</v>
      </c>
      <c r="P58" s="189">
        <v>0.8</v>
      </c>
      <c r="Q58" s="117">
        <v>0.95</v>
      </c>
      <c r="R58" s="133">
        <f t="shared" si="27"/>
        <v>-0.26666666666666666</v>
      </c>
      <c r="S58" s="133">
        <f t="shared" si="28"/>
        <v>-0.31666666666666665</v>
      </c>
      <c r="T58" s="131">
        <f t="shared" si="23"/>
        <v>215</v>
      </c>
      <c r="U58" s="131">
        <f t="shared" si="24"/>
        <v>215</v>
      </c>
      <c r="V58" s="131">
        <f t="shared" si="16"/>
        <v>150.33333333333334</v>
      </c>
      <c r="W58" s="131">
        <f t="shared" si="17"/>
        <v>161.08333333333331</v>
      </c>
      <c r="X58" s="131">
        <f t="shared" si="18"/>
        <v>-172</v>
      </c>
      <c r="Y58" s="131">
        <f t="shared" si="29"/>
        <v>204.25</v>
      </c>
      <c r="Z58" s="183">
        <f t="shared" si="19"/>
        <v>0.37229437229437218</v>
      </c>
      <c r="AA58" s="134">
        <f t="shared" si="20"/>
        <v>-0.88419913419913398</v>
      </c>
      <c r="AB58" s="190">
        <v>1</v>
      </c>
      <c r="AC58" s="190">
        <v>10</v>
      </c>
    </row>
    <row r="59" spans="2:30" s="187" customFormat="1" ht="56" hidden="1" x14ac:dyDescent="0.35">
      <c r="B59" s="114" t="str">
        <f t="shared" si="14"/>
        <v>Heating, Cooling, Ventilation Systems - Ground Source Heat Pumps + Energy Recovery VentilatorsMixed Use</v>
      </c>
      <c r="C59" s="195" t="s">
        <v>208</v>
      </c>
      <c r="D59" s="194" t="s">
        <v>160</v>
      </c>
      <c r="E59" s="117">
        <v>0.22</v>
      </c>
      <c r="F59" s="117">
        <v>0.4</v>
      </c>
      <c r="G59" s="117">
        <v>0.2</v>
      </c>
      <c r="H59" s="117">
        <v>0.4</v>
      </c>
      <c r="I59" s="117">
        <f t="shared" si="15"/>
        <v>0.30000000000000004</v>
      </c>
      <c r="J59" s="188">
        <f>VLOOKUP(D59,'Existing Building EUI'!$B$7:$E$16,3,FALSE)</f>
        <v>268</v>
      </c>
      <c r="K59" s="188">
        <f>VLOOKUP(D59,'Existing Building EUI'!$B$7:$E$16,4,FALSE)</f>
        <v>322</v>
      </c>
      <c r="L59" s="189">
        <v>0</v>
      </c>
      <c r="M59" s="117">
        <v>0</v>
      </c>
      <c r="N59" s="189">
        <v>0</v>
      </c>
      <c r="O59" s="117">
        <v>0</v>
      </c>
      <c r="P59" s="189">
        <v>0.7</v>
      </c>
      <c r="Q59" s="117">
        <v>0.8</v>
      </c>
      <c r="R59" s="133">
        <f t="shared" si="27"/>
        <v>-0.23333333333333331</v>
      </c>
      <c r="S59" s="133">
        <f t="shared" si="28"/>
        <v>-0.26666666666666666</v>
      </c>
      <c r="T59" s="131">
        <f t="shared" si="23"/>
        <v>268</v>
      </c>
      <c r="U59" s="131">
        <f t="shared" si="24"/>
        <v>268</v>
      </c>
      <c r="V59" s="131">
        <f t="shared" si="16"/>
        <v>384.5333333333333</v>
      </c>
      <c r="W59" s="131">
        <f t="shared" si="17"/>
        <v>393.4666666666667</v>
      </c>
      <c r="X59" s="131">
        <f t="shared" si="18"/>
        <v>-187.6</v>
      </c>
      <c r="Y59" s="131">
        <f t="shared" si="29"/>
        <v>214.4</v>
      </c>
      <c r="Z59" s="183">
        <f t="shared" si="19"/>
        <v>0.21197740112994359</v>
      </c>
      <c r="AA59" s="134">
        <f t="shared" si="20"/>
        <v>-0.48451977401129948</v>
      </c>
      <c r="AB59" s="190">
        <v>1</v>
      </c>
      <c r="AC59" s="190">
        <v>10</v>
      </c>
    </row>
    <row r="60" spans="2:30" s="187" customFormat="1" ht="56" hidden="1" x14ac:dyDescent="0.35">
      <c r="B60" s="114" t="str">
        <f t="shared" si="14"/>
        <v>Heating, Cooling, Ventilation Systems - Ground Source Heat Pumps + Energy Recovery VentilatorsLow Rise Rental Apartment</v>
      </c>
      <c r="C60" s="193" t="s">
        <v>208</v>
      </c>
      <c r="D60" s="194" t="s">
        <v>183</v>
      </c>
      <c r="E60" s="117">
        <v>0.21</v>
      </c>
      <c r="F60" s="117">
        <v>0.3</v>
      </c>
      <c r="G60" s="117">
        <v>0.31</v>
      </c>
      <c r="H60" s="117">
        <v>0.4</v>
      </c>
      <c r="I60" s="117">
        <f t="shared" si="15"/>
        <v>0.35499999999999998</v>
      </c>
      <c r="J60" s="188">
        <f>VLOOKUP(D60,'Existing Building EUI'!$B$7:$E$16,3,FALSE)</f>
        <v>234</v>
      </c>
      <c r="K60" s="188">
        <f>VLOOKUP(D60,'Existing Building EUI'!$B$7:$E$16,4,FALSE)</f>
        <v>107</v>
      </c>
      <c r="L60" s="189">
        <v>0</v>
      </c>
      <c r="M60" s="117">
        <v>0</v>
      </c>
      <c r="N60" s="189">
        <v>0</v>
      </c>
      <c r="O60" s="117">
        <v>0</v>
      </c>
      <c r="P60" s="189">
        <v>0.7</v>
      </c>
      <c r="Q60" s="117">
        <v>0.8</v>
      </c>
      <c r="R60" s="133">
        <f t="shared" si="27"/>
        <v>-0.23333333333333331</v>
      </c>
      <c r="S60" s="133">
        <f t="shared" si="28"/>
        <v>-0.26666666666666666</v>
      </c>
      <c r="T60" s="131">
        <f t="shared" si="23"/>
        <v>234</v>
      </c>
      <c r="U60" s="131">
        <f t="shared" si="24"/>
        <v>234</v>
      </c>
      <c r="V60" s="131">
        <f t="shared" si="16"/>
        <v>161.6</v>
      </c>
      <c r="W60" s="131">
        <f t="shared" si="17"/>
        <v>169.4</v>
      </c>
      <c r="X60" s="131">
        <f t="shared" si="18"/>
        <v>-163.79999999999998</v>
      </c>
      <c r="Y60" s="131">
        <f t="shared" si="29"/>
        <v>187.20000000000002</v>
      </c>
      <c r="Z60" s="183">
        <f t="shared" si="19"/>
        <v>0.32023460410557175</v>
      </c>
      <c r="AA60" s="134">
        <f t="shared" si="20"/>
        <v>-0.73196480938416431</v>
      </c>
      <c r="AB60" s="190">
        <v>11</v>
      </c>
      <c r="AC60" s="190">
        <v>25</v>
      </c>
    </row>
    <row r="61" spans="2:30" s="187" customFormat="1" ht="56" hidden="1" x14ac:dyDescent="0.35">
      <c r="B61" s="114" t="str">
        <f t="shared" si="14"/>
        <v>Heating, Cooling, Ventilation Systems - Rooftop Air Source Heat Pump with Electric BaseboardLow Rise Office</v>
      </c>
      <c r="C61" s="195" t="s">
        <v>203</v>
      </c>
      <c r="D61" s="194" t="s">
        <v>181</v>
      </c>
      <c r="E61" s="117">
        <v>0.21</v>
      </c>
      <c r="F61" s="117">
        <v>0.3</v>
      </c>
      <c r="G61" s="117">
        <v>0.3</v>
      </c>
      <c r="H61" s="117">
        <v>0.75</v>
      </c>
      <c r="I61" s="117">
        <f t="shared" si="15"/>
        <v>0.52500000000000002</v>
      </c>
      <c r="J61" s="188">
        <f>VLOOKUP(D61,'Existing Building EUI'!$B$7:$E$16,3,FALSE)</f>
        <v>149</v>
      </c>
      <c r="K61" s="188">
        <f>VLOOKUP(D61,'Existing Building EUI'!$B$7:$E$16,4,FALSE)</f>
        <v>204</v>
      </c>
      <c r="L61" s="189">
        <v>0</v>
      </c>
      <c r="M61" s="117">
        <v>0</v>
      </c>
      <c r="N61" s="189">
        <v>0</v>
      </c>
      <c r="O61" s="117">
        <v>0</v>
      </c>
      <c r="P61" s="189">
        <v>0.85</v>
      </c>
      <c r="Q61" s="117">
        <v>0.97</v>
      </c>
      <c r="R61" s="133">
        <f t="shared" ref="R61:R65" si="30">P61/-2</f>
        <v>-0.42499999999999999</v>
      </c>
      <c r="S61" s="133">
        <f t="shared" ref="S61:S65" si="31">Q61/-2</f>
        <v>-0.48499999999999999</v>
      </c>
      <c r="T61" s="131">
        <f t="shared" si="23"/>
        <v>149</v>
      </c>
      <c r="U61" s="131">
        <f t="shared" si="24"/>
        <v>149</v>
      </c>
      <c r="V61" s="131">
        <f t="shared" si="16"/>
        <v>267.32499999999999</v>
      </c>
      <c r="W61" s="131">
        <f t="shared" si="17"/>
        <v>276.26499999999999</v>
      </c>
      <c r="X61" s="131">
        <f t="shared" si="18"/>
        <v>-126.64999999999999</v>
      </c>
      <c r="Y61" s="131">
        <f t="shared" si="29"/>
        <v>144.53</v>
      </c>
      <c r="Z61" s="183">
        <f t="shared" si="19"/>
        <v>0.17939093484419261</v>
      </c>
      <c r="AA61" s="134">
        <f t="shared" si="20"/>
        <v>-0.61415014164305937</v>
      </c>
      <c r="AB61" s="190">
        <v>11</v>
      </c>
      <c r="AC61" s="190">
        <v>25</v>
      </c>
    </row>
    <row r="62" spans="2:30" s="187" customFormat="1" ht="56" hidden="1" x14ac:dyDescent="0.35">
      <c r="B62" s="114" t="str">
        <f t="shared" si="14"/>
        <v>Heating, Cooling, Ventilation Systems - Rooftop Air Source Heat Pumps + Energy Recovery VentilatorBig Box Store</v>
      </c>
      <c r="C62" s="195" t="s">
        <v>291</v>
      </c>
      <c r="D62" s="194" t="s">
        <v>180</v>
      </c>
      <c r="E62" s="117">
        <v>0.12</v>
      </c>
      <c r="F62" s="117">
        <v>0.3</v>
      </c>
      <c r="G62" s="117">
        <v>0.3</v>
      </c>
      <c r="H62" s="117">
        <v>0.55000000000000004</v>
      </c>
      <c r="I62" s="117">
        <f t="shared" si="15"/>
        <v>0.42500000000000004</v>
      </c>
      <c r="J62" s="188">
        <f>VLOOKUP(D62,'Existing Building EUI'!$B$7:$E$16,3,FALSE)</f>
        <v>159</v>
      </c>
      <c r="K62" s="188">
        <f>VLOOKUP(D62,'Existing Building EUI'!$B$7:$E$16,4,FALSE)</f>
        <v>231</v>
      </c>
      <c r="L62" s="189">
        <v>0</v>
      </c>
      <c r="M62" s="117">
        <v>0</v>
      </c>
      <c r="N62" s="189">
        <v>0</v>
      </c>
      <c r="O62" s="117">
        <v>0</v>
      </c>
      <c r="P62" s="189">
        <v>0.85</v>
      </c>
      <c r="Q62" s="117">
        <v>0.97</v>
      </c>
      <c r="R62" s="133">
        <f t="shared" si="30"/>
        <v>-0.42499999999999999</v>
      </c>
      <c r="S62" s="133">
        <f t="shared" si="31"/>
        <v>-0.48499999999999999</v>
      </c>
      <c r="T62" s="131">
        <f t="shared" si="23"/>
        <v>159</v>
      </c>
      <c r="U62" s="131">
        <f t="shared" si="24"/>
        <v>159</v>
      </c>
      <c r="V62" s="131">
        <f t="shared" si="16"/>
        <v>298.57499999999999</v>
      </c>
      <c r="W62" s="131">
        <f t="shared" si="17"/>
        <v>308.11500000000001</v>
      </c>
      <c r="X62" s="131">
        <f t="shared" si="18"/>
        <v>-135.15</v>
      </c>
      <c r="Y62" s="131">
        <f t="shared" si="29"/>
        <v>154.22999999999999</v>
      </c>
      <c r="Z62" s="183">
        <f t="shared" si="19"/>
        <v>0.1732692307692309</v>
      </c>
      <c r="AA62" s="134">
        <f t="shared" si="20"/>
        <v>-0.5931923076923078</v>
      </c>
      <c r="AB62" s="190">
        <v>11</v>
      </c>
      <c r="AC62" s="190">
        <v>25</v>
      </c>
      <c r="AD62" s="187">
        <v>0</v>
      </c>
    </row>
    <row r="63" spans="2:30" s="187" customFormat="1" ht="56" hidden="1" x14ac:dyDescent="0.35">
      <c r="B63" s="114" t="str">
        <f t="shared" si="14"/>
        <v>Heating, Cooling, Ventilation Systems - Rooftop Air Source Heat Pumps + Energy Recovery VentilatorsStrip Mall</v>
      </c>
      <c r="C63" s="195" t="s">
        <v>294</v>
      </c>
      <c r="D63" s="194" t="s">
        <v>159</v>
      </c>
      <c r="E63" s="117">
        <v>0.12</v>
      </c>
      <c r="F63" s="117">
        <v>0.25</v>
      </c>
      <c r="G63" s="117">
        <v>0.2</v>
      </c>
      <c r="H63" s="117">
        <v>0.55000000000000004</v>
      </c>
      <c r="I63" s="117">
        <f t="shared" si="15"/>
        <v>0.375</v>
      </c>
      <c r="J63" s="188">
        <f>VLOOKUP(D63,'Existing Building EUI'!$B$7:$E$16,3,FALSE)</f>
        <v>127</v>
      </c>
      <c r="K63" s="188">
        <f>VLOOKUP(D63,'Existing Building EUI'!$B$7:$E$16,4,FALSE)</f>
        <v>248</v>
      </c>
      <c r="L63" s="189">
        <v>0</v>
      </c>
      <c r="M63" s="117">
        <v>0</v>
      </c>
      <c r="N63" s="189">
        <v>0</v>
      </c>
      <c r="O63" s="117">
        <v>0</v>
      </c>
      <c r="P63" s="189">
        <v>0.8</v>
      </c>
      <c r="Q63" s="117">
        <v>0.97</v>
      </c>
      <c r="R63" s="133">
        <f t="shared" si="30"/>
        <v>-0.4</v>
      </c>
      <c r="S63" s="133">
        <f t="shared" si="31"/>
        <v>-0.48499999999999999</v>
      </c>
      <c r="T63" s="131">
        <f t="shared" si="23"/>
        <v>127</v>
      </c>
      <c r="U63" s="131">
        <f t="shared" si="24"/>
        <v>127</v>
      </c>
      <c r="V63" s="131">
        <f t="shared" si="16"/>
        <v>298.8</v>
      </c>
      <c r="W63" s="131">
        <f t="shared" si="17"/>
        <v>309.59500000000003</v>
      </c>
      <c r="X63" s="131">
        <f t="shared" si="18"/>
        <v>-101.60000000000001</v>
      </c>
      <c r="Y63" s="131">
        <f t="shared" si="29"/>
        <v>123.19</v>
      </c>
      <c r="Z63" s="183">
        <f t="shared" si="19"/>
        <v>0.13546666666666671</v>
      </c>
      <c r="AA63" s="134">
        <f t="shared" si="20"/>
        <v>-0.4927600000000002</v>
      </c>
      <c r="AB63" s="190">
        <v>11</v>
      </c>
      <c r="AC63" s="190">
        <v>25</v>
      </c>
    </row>
    <row r="64" spans="2:30" s="187" customFormat="1" ht="70" hidden="1" x14ac:dyDescent="0.35">
      <c r="B64" s="114" t="str">
        <f t="shared" si="14"/>
        <v>Heating, Cooling, Ventilation, Systems - Air Source Heat Pumps + Energy Recovery Ventilators + Smart ThermostatsSingle Family Home Attached</v>
      </c>
      <c r="C64" s="195" t="s">
        <v>289</v>
      </c>
      <c r="D64" s="194" t="s">
        <v>182</v>
      </c>
      <c r="E64" s="117">
        <v>0.01</v>
      </c>
      <c r="F64" s="117">
        <v>0.5</v>
      </c>
      <c r="G64" s="117">
        <v>0.01</v>
      </c>
      <c r="H64" s="117">
        <v>0.45</v>
      </c>
      <c r="I64" s="117">
        <f t="shared" si="15"/>
        <v>0.23</v>
      </c>
      <c r="J64" s="188">
        <f>VLOOKUP(D64,'Existing Building EUI'!$B$7:$E$16,3,FALSE)</f>
        <v>147</v>
      </c>
      <c r="K64" s="188">
        <f>VLOOKUP(D64,'Existing Building EUI'!$B$7:$E$16,4,FALSE)</f>
        <v>43</v>
      </c>
      <c r="L64" s="189">
        <v>0</v>
      </c>
      <c r="M64" s="117">
        <v>0</v>
      </c>
      <c r="N64" s="189">
        <v>0</v>
      </c>
      <c r="O64" s="117">
        <v>0</v>
      </c>
      <c r="P64" s="189">
        <v>0.6</v>
      </c>
      <c r="Q64" s="117">
        <v>0.8</v>
      </c>
      <c r="R64" s="133">
        <f t="shared" si="30"/>
        <v>-0.3</v>
      </c>
      <c r="S64" s="133">
        <f t="shared" si="31"/>
        <v>-0.4</v>
      </c>
      <c r="T64" s="131">
        <f t="shared" si="23"/>
        <v>147</v>
      </c>
      <c r="U64" s="131">
        <f t="shared" si="24"/>
        <v>147</v>
      </c>
      <c r="V64" s="131">
        <f t="shared" si="16"/>
        <v>87.1</v>
      </c>
      <c r="W64" s="131">
        <f t="shared" si="17"/>
        <v>101.80000000000001</v>
      </c>
      <c r="X64" s="131">
        <f t="shared" si="18"/>
        <v>-88.2</v>
      </c>
      <c r="Y64" s="131">
        <f t="shared" si="29"/>
        <v>117.60000000000001</v>
      </c>
      <c r="Z64" s="183">
        <f t="shared" si="19"/>
        <v>0.23210526315789487</v>
      </c>
      <c r="AA64" s="134">
        <f t="shared" si="20"/>
        <v>-0.92842105263157915</v>
      </c>
      <c r="AB64" s="190">
        <v>1</v>
      </c>
      <c r="AC64" s="190">
        <v>10</v>
      </c>
    </row>
    <row r="65" spans="2:29" s="187" customFormat="1" ht="70" hidden="1" x14ac:dyDescent="0.35">
      <c r="B65" s="114" t="str">
        <f t="shared" si="14"/>
        <v>Heating, Cooling, Ventilation, Systems - Air Source Heat Pumps + Energy Recovery Ventilators + Smart ThermostatsSingle Family Home Detached</v>
      </c>
      <c r="C65" s="195" t="s">
        <v>289</v>
      </c>
      <c r="D65" s="194" t="s">
        <v>209</v>
      </c>
      <c r="E65" s="117">
        <v>0.01</v>
      </c>
      <c r="F65" s="117">
        <v>0.6</v>
      </c>
      <c r="G65" s="117">
        <v>0.01</v>
      </c>
      <c r="H65" s="117">
        <v>0.55000000000000004</v>
      </c>
      <c r="I65" s="117">
        <f t="shared" si="15"/>
        <v>0.28000000000000003</v>
      </c>
      <c r="J65" s="188">
        <f>VLOOKUP(D65,'Existing Building EUI'!$B$7:$E$16,3,FALSE)</f>
        <v>203</v>
      </c>
      <c r="K65" s="188">
        <f>VLOOKUP(D65,'Existing Building EUI'!$B$7:$E$16,4,FALSE)</f>
        <v>38</v>
      </c>
      <c r="L65" s="189">
        <v>0</v>
      </c>
      <c r="M65" s="117">
        <v>0</v>
      </c>
      <c r="N65" s="189">
        <v>0</v>
      </c>
      <c r="O65" s="117">
        <v>0</v>
      </c>
      <c r="P65" s="189">
        <v>0.6</v>
      </c>
      <c r="Q65" s="117">
        <v>0.8</v>
      </c>
      <c r="R65" s="133">
        <f t="shared" si="30"/>
        <v>-0.3</v>
      </c>
      <c r="S65" s="133">
        <f t="shared" si="31"/>
        <v>-0.4</v>
      </c>
      <c r="T65" s="131">
        <f t="shared" si="23"/>
        <v>203</v>
      </c>
      <c r="U65" s="131">
        <f t="shared" si="24"/>
        <v>203</v>
      </c>
      <c r="V65" s="131">
        <f t="shared" si="16"/>
        <v>98.9</v>
      </c>
      <c r="W65" s="131">
        <f t="shared" si="17"/>
        <v>119.2</v>
      </c>
      <c r="X65" s="131">
        <f t="shared" si="18"/>
        <v>-121.8</v>
      </c>
      <c r="Y65" s="131">
        <f t="shared" si="29"/>
        <v>162.4</v>
      </c>
      <c r="Z65" s="183">
        <f t="shared" si="19"/>
        <v>0.2526970954356848</v>
      </c>
      <c r="AA65" s="134">
        <f t="shared" si="20"/>
        <v>-1.0107883817427388</v>
      </c>
      <c r="AB65" s="190">
        <v>1</v>
      </c>
      <c r="AC65" s="190">
        <v>10</v>
      </c>
    </row>
    <row r="66" spans="2:29" s="187" customFormat="1" ht="70" hidden="1" x14ac:dyDescent="0.35">
      <c r="B66" s="114" t="str">
        <f t="shared" si="14"/>
        <v>Heating, Cooling, Ventilation, Systems - Ground Source Heat Pumps + Energy Recovery Ventilators + Smart ThermostatsSingle Family Home Attached</v>
      </c>
      <c r="C66" s="195" t="s">
        <v>290</v>
      </c>
      <c r="D66" s="194" t="s">
        <v>182</v>
      </c>
      <c r="E66" s="117">
        <v>0.01</v>
      </c>
      <c r="F66" s="117">
        <v>0.5</v>
      </c>
      <c r="G66" s="117">
        <v>0.01</v>
      </c>
      <c r="H66" s="117">
        <v>0.45</v>
      </c>
      <c r="I66" s="117">
        <f t="shared" si="15"/>
        <v>0.23</v>
      </c>
      <c r="J66" s="188">
        <f>VLOOKUP(D66,'Existing Building EUI'!$B$7:$E$16,3,FALSE)</f>
        <v>147</v>
      </c>
      <c r="K66" s="188">
        <f>VLOOKUP(D66,'Existing Building EUI'!$B$7:$E$16,4,FALSE)</f>
        <v>43</v>
      </c>
      <c r="L66" s="189">
        <v>0</v>
      </c>
      <c r="M66" s="117">
        <v>0</v>
      </c>
      <c r="N66" s="189">
        <v>0</v>
      </c>
      <c r="O66" s="117">
        <v>0</v>
      </c>
      <c r="P66" s="189">
        <v>0.6</v>
      </c>
      <c r="Q66" s="117">
        <v>0.8</v>
      </c>
      <c r="R66" s="133">
        <f t="shared" ref="R66:R67" si="32">P66/-3</f>
        <v>-0.19999999999999998</v>
      </c>
      <c r="S66" s="133">
        <f t="shared" ref="S66:S67" si="33">Q66/-3</f>
        <v>-0.26666666666666666</v>
      </c>
      <c r="T66" s="131">
        <f t="shared" si="23"/>
        <v>147</v>
      </c>
      <c r="U66" s="131">
        <f t="shared" si="24"/>
        <v>147</v>
      </c>
      <c r="V66" s="131">
        <f t="shared" si="16"/>
        <v>72.400000000000006</v>
      </c>
      <c r="W66" s="131">
        <f t="shared" si="17"/>
        <v>82.2</v>
      </c>
      <c r="X66" s="131">
        <f t="shared" si="18"/>
        <v>-88.2</v>
      </c>
      <c r="Y66" s="131">
        <f t="shared" si="29"/>
        <v>117.60000000000001</v>
      </c>
      <c r="Z66" s="183">
        <f t="shared" si="19"/>
        <v>0.3094736842105264</v>
      </c>
      <c r="AA66" s="134">
        <f t="shared" si="20"/>
        <v>-0.82526315789473692</v>
      </c>
      <c r="AB66" s="190">
        <v>1</v>
      </c>
      <c r="AC66" s="190">
        <v>10</v>
      </c>
    </row>
    <row r="67" spans="2:29" s="187" customFormat="1" ht="70" hidden="1" x14ac:dyDescent="0.35">
      <c r="B67" s="114" t="str">
        <f t="shared" si="14"/>
        <v>Heating, Cooling, Ventilation, Systems - Ground Source Heat Pumps + Energy Recovery Ventilators + Smart ThermostatsSingle Family Home Detached</v>
      </c>
      <c r="C67" s="195" t="s">
        <v>290</v>
      </c>
      <c r="D67" s="194" t="s">
        <v>209</v>
      </c>
      <c r="E67" s="117">
        <v>0.01</v>
      </c>
      <c r="F67" s="117">
        <v>0.6</v>
      </c>
      <c r="G67" s="117">
        <v>0.01</v>
      </c>
      <c r="H67" s="117">
        <v>0.55000000000000004</v>
      </c>
      <c r="I67" s="117">
        <f t="shared" si="15"/>
        <v>0.28000000000000003</v>
      </c>
      <c r="J67" s="188">
        <f>VLOOKUP(D67,'Existing Building EUI'!$B$7:$E$16,3,FALSE)</f>
        <v>203</v>
      </c>
      <c r="K67" s="188">
        <f>VLOOKUP(D67,'Existing Building EUI'!$B$7:$E$16,4,FALSE)</f>
        <v>38</v>
      </c>
      <c r="L67" s="189">
        <v>0</v>
      </c>
      <c r="M67" s="117">
        <v>0</v>
      </c>
      <c r="N67" s="189">
        <v>0</v>
      </c>
      <c r="O67" s="117">
        <v>0</v>
      </c>
      <c r="P67" s="189">
        <v>0.6</v>
      </c>
      <c r="Q67" s="117">
        <v>0.8</v>
      </c>
      <c r="R67" s="133">
        <f t="shared" si="32"/>
        <v>-0.19999999999999998</v>
      </c>
      <c r="S67" s="133">
        <f t="shared" si="33"/>
        <v>-0.26666666666666666</v>
      </c>
      <c r="T67" s="131">
        <f t="shared" si="23"/>
        <v>203</v>
      </c>
      <c r="U67" s="131">
        <f t="shared" si="24"/>
        <v>203</v>
      </c>
      <c r="V67" s="131">
        <f t="shared" si="16"/>
        <v>78.599999999999994</v>
      </c>
      <c r="W67" s="131">
        <f t="shared" si="17"/>
        <v>92.133333333333326</v>
      </c>
      <c r="X67" s="131">
        <f t="shared" si="18"/>
        <v>-121.8</v>
      </c>
      <c r="Y67" s="131">
        <f t="shared" si="29"/>
        <v>162.4</v>
      </c>
      <c r="Z67" s="183">
        <f t="shared" si="19"/>
        <v>0.33692946058091283</v>
      </c>
      <c r="AA67" s="134">
        <f t="shared" si="20"/>
        <v>-0.89847856154910088</v>
      </c>
      <c r="AB67" s="190">
        <v>1</v>
      </c>
      <c r="AC67" s="190">
        <v>10</v>
      </c>
    </row>
    <row r="68" spans="2:29" s="187" customFormat="1" ht="28" hidden="1" x14ac:dyDescent="0.35">
      <c r="B68" s="114" t="str">
        <f t="shared" si="14"/>
        <v>Lighting and Lighting ControlsMid Rise Office</v>
      </c>
      <c r="C68" s="193" t="s">
        <v>198</v>
      </c>
      <c r="D68" s="194" t="s">
        <v>178</v>
      </c>
      <c r="E68" s="117">
        <v>0.01</v>
      </c>
      <c r="F68" s="117">
        <v>0.1</v>
      </c>
      <c r="G68" s="117">
        <v>0.01</v>
      </c>
      <c r="H68" s="117">
        <v>0.1</v>
      </c>
      <c r="I68" s="117">
        <f t="shared" si="15"/>
        <v>5.5E-2</v>
      </c>
      <c r="J68" s="188">
        <f>VLOOKUP(D68,'Existing Building EUI'!$B$7:$E$16,3,FALSE)</f>
        <v>270</v>
      </c>
      <c r="K68" s="188">
        <f>VLOOKUP(D68,'Existing Building EUI'!$B$7:$E$16,4,FALSE)</f>
        <v>219</v>
      </c>
      <c r="L68" s="189">
        <v>0</v>
      </c>
      <c r="M68" s="117">
        <v>0</v>
      </c>
      <c r="N68" s="183">
        <v>0.03</v>
      </c>
      <c r="O68" s="134">
        <v>0.22</v>
      </c>
      <c r="P68" s="189">
        <v>0</v>
      </c>
      <c r="Q68" s="117">
        <v>0</v>
      </c>
      <c r="R68" s="117">
        <v>0</v>
      </c>
      <c r="S68" s="117">
        <v>0</v>
      </c>
      <c r="T68" s="131">
        <f t="shared" si="23"/>
        <v>270</v>
      </c>
      <c r="U68" s="131">
        <f t="shared" si="24"/>
        <v>270</v>
      </c>
      <c r="V68" s="131">
        <f t="shared" si="16"/>
        <v>212.43</v>
      </c>
      <c r="W68" s="131">
        <f t="shared" si="17"/>
        <v>170.82</v>
      </c>
      <c r="X68" s="131">
        <f t="shared" si="18"/>
        <v>0</v>
      </c>
      <c r="Y68" s="131">
        <f t="shared" si="29"/>
        <v>0</v>
      </c>
      <c r="Z68" s="183">
        <f t="shared" si="19"/>
        <v>1.3435582822085875E-2</v>
      </c>
      <c r="AA68" s="134">
        <f t="shared" si="20"/>
        <v>9.8527607361963199E-2</v>
      </c>
      <c r="AB68" s="190">
        <v>1</v>
      </c>
      <c r="AC68" s="190">
        <v>10</v>
      </c>
    </row>
    <row r="69" spans="2:29" s="187" customFormat="1" ht="28" hidden="1" x14ac:dyDescent="0.35">
      <c r="B69" s="114" t="str">
        <f t="shared" si="14"/>
        <v>Lighting and Lighting ControlsEducational Facility</v>
      </c>
      <c r="C69" s="193" t="s">
        <v>198</v>
      </c>
      <c r="D69" s="194" t="s">
        <v>179</v>
      </c>
      <c r="E69" s="117">
        <v>0.01</v>
      </c>
      <c r="F69" s="117">
        <v>0.1</v>
      </c>
      <c r="G69" s="117">
        <v>0.01</v>
      </c>
      <c r="H69" s="117">
        <v>0.05</v>
      </c>
      <c r="I69" s="117">
        <f t="shared" si="15"/>
        <v>3.0000000000000002E-2</v>
      </c>
      <c r="J69" s="188">
        <f>VLOOKUP(D69,'Existing Building EUI'!$B$7:$E$16,3,FALSE)</f>
        <v>201</v>
      </c>
      <c r="K69" s="188">
        <f>VLOOKUP(D69,'Existing Building EUI'!$B$7:$E$16,4,FALSE)</f>
        <v>284</v>
      </c>
      <c r="L69" s="189">
        <v>0</v>
      </c>
      <c r="M69" s="117">
        <v>0</v>
      </c>
      <c r="N69" s="183">
        <v>0.01</v>
      </c>
      <c r="O69" s="134">
        <v>0.17</v>
      </c>
      <c r="P69" s="189">
        <v>0</v>
      </c>
      <c r="Q69" s="117">
        <v>0</v>
      </c>
      <c r="R69" s="117">
        <v>0</v>
      </c>
      <c r="S69" s="117">
        <v>0</v>
      </c>
      <c r="T69" s="131">
        <f t="shared" si="23"/>
        <v>201</v>
      </c>
      <c r="U69" s="131">
        <f t="shared" si="24"/>
        <v>201</v>
      </c>
      <c r="V69" s="131">
        <f t="shared" si="16"/>
        <v>281.16000000000003</v>
      </c>
      <c r="W69" s="131">
        <f t="shared" si="17"/>
        <v>235.72</v>
      </c>
      <c r="X69" s="131">
        <f t="shared" si="18"/>
        <v>0</v>
      </c>
      <c r="Y69" s="131">
        <f t="shared" si="29"/>
        <v>0</v>
      </c>
      <c r="Z69" s="183">
        <f t="shared" si="19"/>
        <v>5.8556701030927317E-3</v>
      </c>
      <c r="AA69" s="134">
        <f t="shared" si="20"/>
        <v>9.9546391752577262E-2</v>
      </c>
      <c r="AB69" s="190">
        <v>1</v>
      </c>
      <c r="AC69" s="190">
        <v>10</v>
      </c>
    </row>
    <row r="70" spans="2:29" s="187" customFormat="1" ht="28" hidden="1" x14ac:dyDescent="0.35">
      <c r="B70" s="114" t="str">
        <f t="shared" ref="B70:B91" si="34">C70&amp;D70</f>
        <v>Lighting and Lighting ControlsBig Box Store</v>
      </c>
      <c r="C70" s="193" t="s">
        <v>198</v>
      </c>
      <c r="D70" s="194" t="s">
        <v>180</v>
      </c>
      <c r="E70" s="117">
        <v>0.01</v>
      </c>
      <c r="F70" s="117">
        <v>0.1</v>
      </c>
      <c r="G70" s="117">
        <v>0.01</v>
      </c>
      <c r="H70" s="117">
        <v>0.1</v>
      </c>
      <c r="I70" s="117">
        <f t="shared" ref="I70:I91" si="35">AVERAGE(G70:H70)</f>
        <v>5.5E-2</v>
      </c>
      <c r="J70" s="188">
        <f>VLOOKUP(D70,'Existing Building EUI'!$B$7:$E$16,3,FALSE)</f>
        <v>159</v>
      </c>
      <c r="K70" s="188">
        <f>VLOOKUP(D70,'Existing Building EUI'!$B$7:$E$16,4,FALSE)</f>
        <v>231</v>
      </c>
      <c r="L70" s="189">
        <v>0</v>
      </c>
      <c r="M70" s="117">
        <v>0</v>
      </c>
      <c r="N70" s="183">
        <v>0.01</v>
      </c>
      <c r="O70" s="134">
        <v>0.17</v>
      </c>
      <c r="P70" s="189">
        <v>0</v>
      </c>
      <c r="Q70" s="117">
        <v>0</v>
      </c>
      <c r="R70" s="117">
        <v>0</v>
      </c>
      <c r="S70" s="117">
        <v>0</v>
      </c>
      <c r="T70" s="131">
        <f t="shared" si="23"/>
        <v>159</v>
      </c>
      <c r="U70" s="131">
        <f t="shared" si="24"/>
        <v>159</v>
      </c>
      <c r="V70" s="131">
        <f t="shared" ref="V70:V91" si="36">K70-((K70*N70)+(J70*R70))</f>
        <v>228.69</v>
      </c>
      <c r="W70" s="131">
        <f t="shared" ref="W70:W91" si="37">K70-((K70*O70)+(J70*S70))</f>
        <v>191.73</v>
      </c>
      <c r="X70" s="131">
        <f t="shared" ref="X70:X91" si="38">(P70*J70)*-1</f>
        <v>0</v>
      </c>
      <c r="Y70" s="131">
        <f t="shared" si="29"/>
        <v>0</v>
      </c>
      <c r="Z70" s="183">
        <f t="shared" ref="Z70:Z91" si="39">(SUM(T70,V70,X70)-SUM(J70:K70))/SUM(J70:K70)*-1</f>
        <v>5.9230769230769293E-3</v>
      </c>
      <c r="AA70" s="134">
        <f t="shared" ref="AA70:AA91" si="40">(SUM(U70,W70,Y70)-SUM(J70:K70))/SUM(J70:K70)*-1</f>
        <v>0.10069230769230765</v>
      </c>
      <c r="AB70" s="190">
        <v>1</v>
      </c>
      <c r="AC70" s="190">
        <v>10</v>
      </c>
    </row>
    <row r="71" spans="2:29" s="187" customFormat="1" ht="28" hidden="1" x14ac:dyDescent="0.35">
      <c r="B71" s="114" t="str">
        <f t="shared" si="34"/>
        <v>Lighting and Lighting ControlsLow Rise Office</v>
      </c>
      <c r="C71" s="193" t="s">
        <v>198</v>
      </c>
      <c r="D71" s="194" t="s">
        <v>181</v>
      </c>
      <c r="E71" s="117">
        <v>0.01</v>
      </c>
      <c r="F71" s="117">
        <v>0.1</v>
      </c>
      <c r="G71" s="117">
        <v>0.01</v>
      </c>
      <c r="H71" s="117">
        <v>0.1</v>
      </c>
      <c r="I71" s="117">
        <f t="shared" si="35"/>
        <v>5.5E-2</v>
      </c>
      <c r="J71" s="188">
        <f>VLOOKUP(D71,'Existing Building EUI'!$B$7:$E$16,3,FALSE)</f>
        <v>149</v>
      </c>
      <c r="K71" s="188">
        <f>VLOOKUP(D71,'Existing Building EUI'!$B$7:$E$16,4,FALSE)</f>
        <v>204</v>
      </c>
      <c r="L71" s="189">
        <v>0</v>
      </c>
      <c r="M71" s="117">
        <v>0</v>
      </c>
      <c r="N71" s="183">
        <v>0.01</v>
      </c>
      <c r="O71" s="134">
        <v>0.18</v>
      </c>
      <c r="P71" s="189">
        <v>0</v>
      </c>
      <c r="Q71" s="117">
        <v>0</v>
      </c>
      <c r="R71" s="117">
        <v>0</v>
      </c>
      <c r="S71" s="117">
        <v>0</v>
      </c>
      <c r="T71" s="131">
        <f t="shared" si="23"/>
        <v>149</v>
      </c>
      <c r="U71" s="131">
        <f t="shared" si="24"/>
        <v>149</v>
      </c>
      <c r="V71" s="131">
        <f t="shared" si="36"/>
        <v>201.96</v>
      </c>
      <c r="W71" s="131">
        <f t="shared" si="37"/>
        <v>167.28</v>
      </c>
      <c r="X71" s="131">
        <f t="shared" si="38"/>
        <v>0</v>
      </c>
      <c r="Y71" s="131">
        <f t="shared" si="29"/>
        <v>0</v>
      </c>
      <c r="Z71" s="183">
        <f t="shared" si="39"/>
        <v>5.7790368271953647E-3</v>
      </c>
      <c r="AA71" s="134">
        <f t="shared" si="40"/>
        <v>0.10402266288951849</v>
      </c>
      <c r="AB71" s="190">
        <v>1</v>
      </c>
      <c r="AC71" s="190">
        <v>10</v>
      </c>
    </row>
    <row r="72" spans="2:29" s="187" customFormat="1" ht="14.5" hidden="1" x14ac:dyDescent="0.35">
      <c r="B72" s="114" t="str">
        <f t="shared" si="34"/>
        <v>Lighting and Lighting ControlsStrip Mall</v>
      </c>
      <c r="C72" s="193" t="s">
        <v>198</v>
      </c>
      <c r="D72" s="194" t="s">
        <v>159</v>
      </c>
      <c r="E72" s="117">
        <v>0.01</v>
      </c>
      <c r="F72" s="117">
        <v>0.1</v>
      </c>
      <c r="G72" s="117">
        <v>0.01</v>
      </c>
      <c r="H72" s="117">
        <v>0.1</v>
      </c>
      <c r="I72" s="117">
        <f t="shared" si="35"/>
        <v>5.5E-2</v>
      </c>
      <c r="J72" s="188">
        <f>VLOOKUP(D72,'Existing Building EUI'!$B$7:$E$16,3,FALSE)</f>
        <v>127</v>
      </c>
      <c r="K72" s="188">
        <f>VLOOKUP(D72,'Existing Building EUI'!$B$7:$E$16,4,FALSE)</f>
        <v>248</v>
      </c>
      <c r="L72" s="189">
        <v>0</v>
      </c>
      <c r="M72" s="117">
        <v>0</v>
      </c>
      <c r="N72" s="183">
        <v>0.01</v>
      </c>
      <c r="O72" s="134">
        <v>0.15</v>
      </c>
      <c r="P72" s="189">
        <v>0</v>
      </c>
      <c r="Q72" s="117">
        <v>0</v>
      </c>
      <c r="R72" s="117">
        <v>0</v>
      </c>
      <c r="S72" s="117">
        <v>0</v>
      </c>
      <c r="T72" s="131">
        <f t="shared" si="23"/>
        <v>127</v>
      </c>
      <c r="U72" s="131">
        <f t="shared" si="24"/>
        <v>127</v>
      </c>
      <c r="V72" s="131">
        <f t="shared" si="36"/>
        <v>245.52</v>
      </c>
      <c r="W72" s="131">
        <f t="shared" si="37"/>
        <v>210.8</v>
      </c>
      <c r="X72" s="131">
        <f t="shared" si="38"/>
        <v>0</v>
      </c>
      <c r="Y72" s="131">
        <f t="shared" si="29"/>
        <v>0</v>
      </c>
      <c r="Z72" s="183">
        <f t="shared" si="39"/>
        <v>6.6133333333333816E-3</v>
      </c>
      <c r="AA72" s="134">
        <f t="shared" si="40"/>
        <v>9.9199999999999969E-2</v>
      </c>
      <c r="AB72" s="190">
        <v>1</v>
      </c>
      <c r="AC72" s="190">
        <v>10</v>
      </c>
    </row>
    <row r="73" spans="2:29" s="187" customFormat="1" ht="14.5" hidden="1" x14ac:dyDescent="0.35">
      <c r="B73" s="114" t="str">
        <f t="shared" si="34"/>
        <v>Lighting and Lighting ControlsMixed Use</v>
      </c>
      <c r="C73" s="193" t="s">
        <v>198</v>
      </c>
      <c r="D73" s="194" t="s">
        <v>160</v>
      </c>
      <c r="E73" s="117">
        <v>0.01</v>
      </c>
      <c r="F73" s="117">
        <v>0.1</v>
      </c>
      <c r="G73" s="117">
        <v>0.01</v>
      </c>
      <c r="H73" s="117">
        <v>0.1</v>
      </c>
      <c r="I73" s="117">
        <f t="shared" si="35"/>
        <v>5.5E-2</v>
      </c>
      <c r="J73" s="188">
        <f>VLOOKUP(D73,'Existing Building EUI'!$B$7:$E$16,3,FALSE)</f>
        <v>268</v>
      </c>
      <c r="K73" s="188">
        <f>VLOOKUP(D73,'Existing Building EUI'!$B$7:$E$16,4,FALSE)</f>
        <v>322</v>
      </c>
      <c r="L73" s="189">
        <v>0</v>
      </c>
      <c r="M73" s="117">
        <v>0</v>
      </c>
      <c r="N73" s="183">
        <v>0.01</v>
      </c>
      <c r="O73" s="134">
        <v>0.18</v>
      </c>
      <c r="P73" s="189">
        <v>0</v>
      </c>
      <c r="Q73" s="117">
        <v>0</v>
      </c>
      <c r="R73" s="117">
        <v>0</v>
      </c>
      <c r="S73" s="117">
        <v>0</v>
      </c>
      <c r="T73" s="131">
        <f t="shared" si="23"/>
        <v>268</v>
      </c>
      <c r="U73" s="131">
        <f t="shared" si="24"/>
        <v>268</v>
      </c>
      <c r="V73" s="131">
        <f t="shared" si="36"/>
        <v>318.77999999999997</v>
      </c>
      <c r="W73" s="131">
        <f t="shared" si="37"/>
        <v>264.04000000000002</v>
      </c>
      <c r="X73" s="131">
        <f t="shared" si="38"/>
        <v>0</v>
      </c>
      <c r="Y73" s="131">
        <f t="shared" si="29"/>
        <v>0</v>
      </c>
      <c r="Z73" s="183">
        <f t="shared" si="39"/>
        <v>5.4576271186441141E-3</v>
      </c>
      <c r="AA73" s="134">
        <f t="shared" si="40"/>
        <v>9.8237288135593279E-2</v>
      </c>
      <c r="AB73" s="192">
        <v>0</v>
      </c>
      <c r="AC73" s="192">
        <v>0</v>
      </c>
    </row>
    <row r="74" spans="2:29" s="187" customFormat="1" ht="14.5" hidden="1" x14ac:dyDescent="0.35">
      <c r="B74" s="114" t="str">
        <f t="shared" si="34"/>
        <v>Renewables - Solar PVMid Rise Office</v>
      </c>
      <c r="C74" s="193" t="s">
        <v>199</v>
      </c>
      <c r="D74" s="194" t="s">
        <v>178</v>
      </c>
      <c r="E74" s="117">
        <v>0.01</v>
      </c>
      <c r="F74" s="117">
        <v>0.1</v>
      </c>
      <c r="G74" s="117">
        <v>0.01</v>
      </c>
      <c r="H74" s="117">
        <v>0.05</v>
      </c>
      <c r="I74" s="117">
        <f t="shared" si="35"/>
        <v>3.0000000000000002E-2</v>
      </c>
      <c r="J74" s="188">
        <f>VLOOKUP(D74,'Existing Building EUI'!$B$7:$E$16,3,FALSE)</f>
        <v>270</v>
      </c>
      <c r="K74" s="188">
        <f>VLOOKUP(D74,'Existing Building EUI'!$B$7:$E$16,4,FALSE)</f>
        <v>219</v>
      </c>
      <c r="L74" s="189">
        <v>0</v>
      </c>
      <c r="M74" s="117">
        <v>0</v>
      </c>
      <c r="N74" s="183">
        <v>0.02</v>
      </c>
      <c r="O74" s="134">
        <v>0.22</v>
      </c>
      <c r="P74" s="189">
        <v>0</v>
      </c>
      <c r="Q74" s="117">
        <v>0</v>
      </c>
      <c r="R74" s="117">
        <v>0</v>
      </c>
      <c r="S74" s="117">
        <v>0</v>
      </c>
      <c r="T74" s="131">
        <f t="shared" si="23"/>
        <v>270</v>
      </c>
      <c r="U74" s="131">
        <f t="shared" si="24"/>
        <v>270</v>
      </c>
      <c r="V74" s="131">
        <f t="shared" si="36"/>
        <v>214.62</v>
      </c>
      <c r="W74" s="131">
        <f t="shared" si="37"/>
        <v>170.82</v>
      </c>
      <c r="X74" s="131">
        <f t="shared" si="38"/>
        <v>0</v>
      </c>
      <c r="Y74" s="131">
        <f t="shared" si="29"/>
        <v>0</v>
      </c>
      <c r="Z74" s="183">
        <f t="shared" si="39"/>
        <v>8.9570552147239177E-3</v>
      </c>
      <c r="AA74" s="134">
        <f t="shared" si="40"/>
        <v>9.8527607361963199E-2</v>
      </c>
      <c r="AB74" s="190">
        <v>26</v>
      </c>
      <c r="AC74" s="190">
        <v>50</v>
      </c>
    </row>
    <row r="75" spans="2:29" s="187" customFormat="1" ht="28" hidden="1" x14ac:dyDescent="0.35">
      <c r="B75" s="114" t="str">
        <f t="shared" si="34"/>
        <v>Renewables - Solar PVEducational Facility</v>
      </c>
      <c r="C75" s="193" t="s">
        <v>199</v>
      </c>
      <c r="D75" s="194" t="s">
        <v>179</v>
      </c>
      <c r="E75" s="117">
        <v>0.01</v>
      </c>
      <c r="F75" s="117">
        <v>0.1</v>
      </c>
      <c r="G75" s="117">
        <v>0.01</v>
      </c>
      <c r="H75" s="117">
        <v>0.03</v>
      </c>
      <c r="I75" s="117">
        <f t="shared" si="35"/>
        <v>0.02</v>
      </c>
      <c r="J75" s="188">
        <f>VLOOKUP(D75,'Existing Building EUI'!$B$7:$E$16,3,FALSE)</f>
        <v>201</v>
      </c>
      <c r="K75" s="188">
        <f>VLOOKUP(D75,'Existing Building EUI'!$B$7:$E$16,4,FALSE)</f>
        <v>284</v>
      </c>
      <c r="L75" s="189">
        <v>0</v>
      </c>
      <c r="M75" s="117">
        <v>0</v>
      </c>
      <c r="N75" s="183">
        <v>0.02</v>
      </c>
      <c r="O75" s="134">
        <v>0.17</v>
      </c>
      <c r="P75" s="189">
        <v>0</v>
      </c>
      <c r="Q75" s="117">
        <v>0</v>
      </c>
      <c r="R75" s="117">
        <v>0</v>
      </c>
      <c r="S75" s="117">
        <v>0</v>
      </c>
      <c r="T75" s="131">
        <f t="shared" si="23"/>
        <v>201</v>
      </c>
      <c r="U75" s="131">
        <f t="shared" si="24"/>
        <v>201</v>
      </c>
      <c r="V75" s="131">
        <f t="shared" si="36"/>
        <v>278.32</v>
      </c>
      <c r="W75" s="131">
        <f t="shared" si="37"/>
        <v>235.72</v>
      </c>
      <c r="X75" s="131">
        <f t="shared" si="38"/>
        <v>0</v>
      </c>
      <c r="Y75" s="131">
        <f t="shared" si="29"/>
        <v>0</v>
      </c>
      <c r="Z75" s="183">
        <f t="shared" si="39"/>
        <v>1.1711340206185581E-2</v>
      </c>
      <c r="AA75" s="134">
        <f t="shared" si="40"/>
        <v>9.9546391752577262E-2</v>
      </c>
      <c r="AB75" s="190">
        <v>26</v>
      </c>
      <c r="AC75" s="190">
        <v>50</v>
      </c>
    </row>
    <row r="76" spans="2:29" s="187" customFormat="1" ht="14.5" hidden="1" x14ac:dyDescent="0.35">
      <c r="B76" s="114" t="str">
        <f t="shared" si="34"/>
        <v>Renewables - Solar PVBig Box Store</v>
      </c>
      <c r="C76" s="193" t="s">
        <v>199</v>
      </c>
      <c r="D76" s="194" t="s">
        <v>180</v>
      </c>
      <c r="E76" s="117">
        <v>0.01</v>
      </c>
      <c r="F76" s="117">
        <v>0.1</v>
      </c>
      <c r="G76" s="117">
        <v>0.01</v>
      </c>
      <c r="H76" s="117">
        <v>0.05</v>
      </c>
      <c r="I76" s="117">
        <f t="shared" si="35"/>
        <v>3.0000000000000002E-2</v>
      </c>
      <c r="J76" s="188">
        <f>VLOOKUP(D76,'Existing Building EUI'!$B$7:$E$16,3,FALSE)</f>
        <v>159</v>
      </c>
      <c r="K76" s="188">
        <f>VLOOKUP(D76,'Existing Building EUI'!$B$7:$E$16,4,FALSE)</f>
        <v>231</v>
      </c>
      <c r="L76" s="189">
        <v>0</v>
      </c>
      <c r="M76" s="117">
        <v>0</v>
      </c>
      <c r="N76" s="183">
        <v>0.02</v>
      </c>
      <c r="O76" s="134">
        <v>0.17</v>
      </c>
      <c r="P76" s="189">
        <v>0</v>
      </c>
      <c r="Q76" s="117">
        <v>0</v>
      </c>
      <c r="R76" s="117">
        <v>0</v>
      </c>
      <c r="S76" s="117">
        <v>0</v>
      </c>
      <c r="T76" s="131">
        <f t="shared" si="23"/>
        <v>159</v>
      </c>
      <c r="U76" s="131">
        <f t="shared" si="24"/>
        <v>159</v>
      </c>
      <c r="V76" s="131">
        <f t="shared" si="36"/>
        <v>226.38</v>
      </c>
      <c r="W76" s="131">
        <f t="shared" si="37"/>
        <v>191.73</v>
      </c>
      <c r="X76" s="131">
        <f t="shared" si="38"/>
        <v>0</v>
      </c>
      <c r="Y76" s="131">
        <f t="shared" si="29"/>
        <v>0</v>
      </c>
      <c r="Z76" s="183">
        <f t="shared" si="39"/>
        <v>1.1846153846153859E-2</v>
      </c>
      <c r="AA76" s="134">
        <f t="shared" si="40"/>
        <v>0.10069230769230765</v>
      </c>
      <c r="AB76" s="190">
        <v>26</v>
      </c>
      <c r="AC76" s="190">
        <v>50</v>
      </c>
    </row>
    <row r="77" spans="2:29" s="187" customFormat="1" ht="14.5" hidden="1" x14ac:dyDescent="0.35">
      <c r="B77" s="114" t="str">
        <f t="shared" si="34"/>
        <v>Renewables - Solar PVLow Rise Office</v>
      </c>
      <c r="C77" s="193" t="s">
        <v>199</v>
      </c>
      <c r="D77" s="194" t="s">
        <v>181</v>
      </c>
      <c r="E77" s="117">
        <v>0.01</v>
      </c>
      <c r="F77" s="117">
        <v>0.1</v>
      </c>
      <c r="G77" s="117">
        <v>0.01</v>
      </c>
      <c r="H77" s="117">
        <v>0.05</v>
      </c>
      <c r="I77" s="117">
        <f t="shared" si="35"/>
        <v>3.0000000000000002E-2</v>
      </c>
      <c r="J77" s="188">
        <f>VLOOKUP(D77,'Existing Building EUI'!$B$7:$E$16,3,FALSE)</f>
        <v>149</v>
      </c>
      <c r="K77" s="188">
        <f>VLOOKUP(D77,'Existing Building EUI'!$B$7:$E$16,4,FALSE)</f>
        <v>204</v>
      </c>
      <c r="L77" s="189">
        <v>0</v>
      </c>
      <c r="M77" s="117">
        <v>0</v>
      </c>
      <c r="N77" s="183">
        <v>0.02</v>
      </c>
      <c r="O77" s="134">
        <v>0.17</v>
      </c>
      <c r="P77" s="189">
        <v>0</v>
      </c>
      <c r="Q77" s="117">
        <v>0</v>
      </c>
      <c r="R77" s="117">
        <v>0</v>
      </c>
      <c r="S77" s="117">
        <v>0</v>
      </c>
      <c r="T77" s="131">
        <f t="shared" si="23"/>
        <v>149</v>
      </c>
      <c r="U77" s="131">
        <f t="shared" si="24"/>
        <v>149</v>
      </c>
      <c r="V77" s="131">
        <f t="shared" si="36"/>
        <v>199.92</v>
      </c>
      <c r="W77" s="131">
        <f t="shared" si="37"/>
        <v>169.32</v>
      </c>
      <c r="X77" s="131">
        <f t="shared" si="38"/>
        <v>0</v>
      </c>
      <c r="Y77" s="131">
        <f t="shared" si="29"/>
        <v>0</v>
      </c>
      <c r="Z77" s="183">
        <f t="shared" si="39"/>
        <v>1.155807365439105E-2</v>
      </c>
      <c r="AA77" s="134">
        <f t="shared" si="40"/>
        <v>9.8243626062322967E-2</v>
      </c>
      <c r="AB77" s="190">
        <v>26</v>
      </c>
      <c r="AC77" s="190">
        <v>50</v>
      </c>
    </row>
    <row r="78" spans="2:29" s="187" customFormat="1" ht="14.5" hidden="1" x14ac:dyDescent="0.35">
      <c r="B78" s="114" t="str">
        <f t="shared" si="34"/>
        <v>Renewables - Solar PVStrip Mall</v>
      </c>
      <c r="C78" s="193" t="s">
        <v>199</v>
      </c>
      <c r="D78" s="194" t="s">
        <v>159</v>
      </c>
      <c r="E78" s="117">
        <v>0.01</v>
      </c>
      <c r="F78" s="117">
        <v>0.1</v>
      </c>
      <c r="G78" s="117">
        <v>0.01</v>
      </c>
      <c r="H78" s="117">
        <v>0.03</v>
      </c>
      <c r="I78" s="117">
        <f t="shared" si="35"/>
        <v>0.02</v>
      </c>
      <c r="J78" s="188">
        <f>VLOOKUP(D78,'Existing Building EUI'!$B$7:$E$16,3,FALSE)</f>
        <v>127</v>
      </c>
      <c r="K78" s="188">
        <f>VLOOKUP(D78,'Existing Building EUI'!$B$7:$E$16,4,FALSE)</f>
        <v>248</v>
      </c>
      <c r="L78" s="189">
        <v>0</v>
      </c>
      <c r="M78" s="117">
        <v>0</v>
      </c>
      <c r="N78" s="183">
        <v>0.02</v>
      </c>
      <c r="O78" s="134">
        <v>0.15</v>
      </c>
      <c r="P78" s="189">
        <v>0</v>
      </c>
      <c r="Q78" s="117">
        <v>0</v>
      </c>
      <c r="R78" s="117">
        <v>0</v>
      </c>
      <c r="S78" s="117">
        <v>0</v>
      </c>
      <c r="T78" s="131">
        <f t="shared" ref="T78:T91" si="41">J78-(J78*L78)</f>
        <v>127</v>
      </c>
      <c r="U78" s="131">
        <f t="shared" ref="U78:U91" si="42">J78-(J78*M78)</f>
        <v>127</v>
      </c>
      <c r="V78" s="131">
        <f t="shared" si="36"/>
        <v>243.04</v>
      </c>
      <c r="W78" s="131">
        <f t="shared" si="37"/>
        <v>210.8</v>
      </c>
      <c r="X78" s="131">
        <f t="shared" si="38"/>
        <v>0</v>
      </c>
      <c r="Y78" s="131">
        <f t="shared" si="29"/>
        <v>0</v>
      </c>
      <c r="Z78" s="183">
        <f t="shared" si="39"/>
        <v>1.3226666666666763E-2</v>
      </c>
      <c r="AA78" s="134">
        <f t="shared" si="40"/>
        <v>9.9199999999999969E-2</v>
      </c>
      <c r="AB78" s="190">
        <v>26</v>
      </c>
      <c r="AC78" s="190">
        <v>50</v>
      </c>
    </row>
    <row r="79" spans="2:29" s="187" customFormat="1" ht="14.5" hidden="1" x14ac:dyDescent="0.35">
      <c r="B79" s="114" t="str">
        <f t="shared" si="34"/>
        <v>Renewables - Solar PVMixed Use</v>
      </c>
      <c r="C79" s="193" t="s">
        <v>199</v>
      </c>
      <c r="D79" s="194" t="s">
        <v>160</v>
      </c>
      <c r="E79" s="117">
        <v>0.01</v>
      </c>
      <c r="F79" s="117">
        <v>0.1</v>
      </c>
      <c r="G79" s="117">
        <v>0.01</v>
      </c>
      <c r="H79" s="117">
        <v>0.05</v>
      </c>
      <c r="I79" s="117">
        <f t="shared" si="35"/>
        <v>3.0000000000000002E-2</v>
      </c>
      <c r="J79" s="188">
        <f>VLOOKUP(D79,'Existing Building EUI'!$B$7:$E$16,3,FALSE)</f>
        <v>268</v>
      </c>
      <c r="K79" s="188">
        <f>VLOOKUP(D79,'Existing Building EUI'!$B$7:$E$16,4,FALSE)</f>
        <v>322</v>
      </c>
      <c r="L79" s="189">
        <v>0</v>
      </c>
      <c r="M79" s="117">
        <v>0</v>
      </c>
      <c r="N79" s="183">
        <v>0.02</v>
      </c>
      <c r="O79" s="134">
        <v>0.18</v>
      </c>
      <c r="P79" s="189">
        <v>0</v>
      </c>
      <c r="Q79" s="117">
        <v>0</v>
      </c>
      <c r="R79" s="117">
        <v>0</v>
      </c>
      <c r="S79" s="117">
        <v>0</v>
      </c>
      <c r="T79" s="131">
        <f t="shared" si="41"/>
        <v>268</v>
      </c>
      <c r="U79" s="131">
        <f t="shared" si="42"/>
        <v>268</v>
      </c>
      <c r="V79" s="131">
        <f t="shared" si="36"/>
        <v>315.56</v>
      </c>
      <c r="W79" s="131">
        <f t="shared" si="37"/>
        <v>264.04000000000002</v>
      </c>
      <c r="X79" s="131">
        <f t="shared" si="38"/>
        <v>0</v>
      </c>
      <c r="Y79" s="131">
        <f t="shared" si="29"/>
        <v>0</v>
      </c>
      <c r="Z79" s="183">
        <f t="shared" si="39"/>
        <v>1.0915254237288228E-2</v>
      </c>
      <c r="AA79" s="134">
        <f t="shared" si="40"/>
        <v>9.8237288135593279E-2</v>
      </c>
      <c r="AB79" s="190">
        <v>26</v>
      </c>
      <c r="AC79" s="190">
        <v>50</v>
      </c>
    </row>
    <row r="80" spans="2:29" s="187" customFormat="1" ht="14.5" hidden="1" x14ac:dyDescent="0.35">
      <c r="B80" s="114" t="str">
        <f t="shared" si="34"/>
        <v>Renewables - Solar PVCondominium</v>
      </c>
      <c r="C80" s="193" t="s">
        <v>199</v>
      </c>
      <c r="D80" s="194" t="s">
        <v>161</v>
      </c>
      <c r="E80" s="117">
        <v>0.01</v>
      </c>
      <c r="F80" s="117">
        <v>0.1</v>
      </c>
      <c r="G80" s="117">
        <v>0.01</v>
      </c>
      <c r="H80" s="117">
        <v>0.05</v>
      </c>
      <c r="I80" s="117">
        <f t="shared" si="35"/>
        <v>3.0000000000000002E-2</v>
      </c>
      <c r="J80" s="188">
        <f>VLOOKUP(D80,'Existing Building EUI'!$B$7:$E$16,3,FALSE)</f>
        <v>215</v>
      </c>
      <c r="K80" s="188">
        <f>VLOOKUP(D80,'Existing Building EUI'!$B$7:$E$16,4,FALSE)</f>
        <v>93</v>
      </c>
      <c r="L80" s="189">
        <v>0</v>
      </c>
      <c r="M80" s="117">
        <v>0</v>
      </c>
      <c r="N80" s="183">
        <v>0.02</v>
      </c>
      <c r="O80" s="134">
        <v>0.22</v>
      </c>
      <c r="P80" s="189">
        <v>0</v>
      </c>
      <c r="Q80" s="117">
        <v>0</v>
      </c>
      <c r="R80" s="117">
        <v>0</v>
      </c>
      <c r="S80" s="117">
        <v>0</v>
      </c>
      <c r="T80" s="131">
        <f t="shared" si="41"/>
        <v>215</v>
      </c>
      <c r="U80" s="131">
        <f t="shared" si="42"/>
        <v>215</v>
      </c>
      <c r="V80" s="131">
        <f t="shared" si="36"/>
        <v>91.14</v>
      </c>
      <c r="W80" s="131">
        <f t="shared" si="37"/>
        <v>72.539999999999992</v>
      </c>
      <c r="X80" s="131">
        <f t="shared" si="38"/>
        <v>0</v>
      </c>
      <c r="Y80" s="131">
        <f t="shared" si="29"/>
        <v>0</v>
      </c>
      <c r="Z80" s="183">
        <f t="shared" si="39"/>
        <v>6.0389610389610833E-3</v>
      </c>
      <c r="AA80" s="134">
        <f t="shared" si="40"/>
        <v>6.6428571428571545E-2</v>
      </c>
      <c r="AB80" s="190">
        <v>26</v>
      </c>
      <c r="AC80" s="190">
        <v>50</v>
      </c>
    </row>
    <row r="81" spans="1:110" s="187" customFormat="1" ht="28" hidden="1" x14ac:dyDescent="0.35">
      <c r="B81" s="114" t="str">
        <f t="shared" si="34"/>
        <v>Renewables - Solar PVLow Rise Rental Apartment</v>
      </c>
      <c r="C81" s="193" t="s">
        <v>199</v>
      </c>
      <c r="D81" s="194" t="s">
        <v>183</v>
      </c>
      <c r="E81" s="117">
        <v>0.01</v>
      </c>
      <c r="F81" s="117">
        <v>0.1</v>
      </c>
      <c r="G81" s="117">
        <v>0.01</v>
      </c>
      <c r="H81" s="117">
        <v>0.05</v>
      </c>
      <c r="I81" s="117">
        <f t="shared" si="35"/>
        <v>3.0000000000000002E-2</v>
      </c>
      <c r="J81" s="188">
        <f>VLOOKUP(D81,'Existing Building EUI'!$B$7:$E$16,3,FALSE)</f>
        <v>234</v>
      </c>
      <c r="K81" s="188">
        <f>VLOOKUP(D81,'Existing Building EUI'!$B$7:$E$16,4,FALSE)</f>
        <v>107</v>
      </c>
      <c r="L81" s="189">
        <v>0</v>
      </c>
      <c r="M81" s="117">
        <v>0</v>
      </c>
      <c r="N81" s="183">
        <v>0.02</v>
      </c>
      <c r="O81" s="134">
        <v>0.3</v>
      </c>
      <c r="P81" s="189">
        <v>0</v>
      </c>
      <c r="Q81" s="117">
        <v>0</v>
      </c>
      <c r="R81" s="117">
        <v>0</v>
      </c>
      <c r="S81" s="117">
        <v>0</v>
      </c>
      <c r="T81" s="131">
        <f t="shared" si="41"/>
        <v>234</v>
      </c>
      <c r="U81" s="131">
        <f t="shared" si="42"/>
        <v>234</v>
      </c>
      <c r="V81" s="131">
        <f t="shared" si="36"/>
        <v>104.86</v>
      </c>
      <c r="W81" s="131">
        <f t="shared" si="37"/>
        <v>74.900000000000006</v>
      </c>
      <c r="X81" s="131">
        <f t="shared" si="38"/>
        <v>0</v>
      </c>
      <c r="Y81" s="131">
        <f t="shared" si="29"/>
        <v>0</v>
      </c>
      <c r="Z81" s="183">
        <f t="shared" si="39"/>
        <v>6.2756598240468805E-3</v>
      </c>
      <c r="AA81" s="134">
        <f t="shared" si="40"/>
        <v>9.4134897360703879E-2</v>
      </c>
      <c r="AB81" s="190">
        <v>26</v>
      </c>
      <c r="AC81" s="190">
        <v>50</v>
      </c>
    </row>
    <row r="82" spans="1:110" s="187" customFormat="1" ht="28" hidden="1" x14ac:dyDescent="0.35">
      <c r="B82" s="114" t="str">
        <f t="shared" si="34"/>
        <v>Renewables - Solar PVSingle Family Home Attached</v>
      </c>
      <c r="C82" s="193" t="s">
        <v>199</v>
      </c>
      <c r="D82" s="194" t="s">
        <v>182</v>
      </c>
      <c r="E82" s="117">
        <v>0.01</v>
      </c>
      <c r="F82" s="117">
        <v>0.1</v>
      </c>
      <c r="G82" s="117">
        <v>0.01</v>
      </c>
      <c r="H82" s="117">
        <v>0.05</v>
      </c>
      <c r="I82" s="117">
        <f t="shared" si="35"/>
        <v>3.0000000000000002E-2</v>
      </c>
      <c r="J82" s="188">
        <f>VLOOKUP(D82,'Existing Building EUI'!$B$7:$E$16,3,FALSE)</f>
        <v>147</v>
      </c>
      <c r="K82" s="188">
        <f>VLOOKUP(D82,'Existing Building EUI'!$B$7:$E$16,4,FALSE)</f>
        <v>43</v>
      </c>
      <c r="L82" s="189">
        <v>0</v>
      </c>
      <c r="M82" s="117">
        <v>0</v>
      </c>
      <c r="N82" s="183">
        <v>0.03</v>
      </c>
      <c r="O82" s="134">
        <v>0.4</v>
      </c>
      <c r="P82" s="189">
        <v>0</v>
      </c>
      <c r="Q82" s="117">
        <v>0</v>
      </c>
      <c r="R82" s="117">
        <v>0</v>
      </c>
      <c r="S82" s="117">
        <v>0</v>
      </c>
      <c r="T82" s="131">
        <f t="shared" si="41"/>
        <v>147</v>
      </c>
      <c r="U82" s="131">
        <f t="shared" si="42"/>
        <v>147</v>
      </c>
      <c r="V82" s="131">
        <f t="shared" si="36"/>
        <v>41.71</v>
      </c>
      <c r="W82" s="131">
        <f t="shared" si="37"/>
        <v>25.8</v>
      </c>
      <c r="X82" s="131">
        <f t="shared" si="38"/>
        <v>0</v>
      </c>
      <c r="Y82" s="131">
        <f t="shared" si="29"/>
        <v>0</v>
      </c>
      <c r="Z82" s="183">
        <f t="shared" si="39"/>
        <v>6.7894736842104841E-3</v>
      </c>
      <c r="AA82" s="134">
        <f t="shared" si="40"/>
        <v>9.0526315789473621E-2</v>
      </c>
      <c r="AB82" s="190">
        <v>26</v>
      </c>
      <c r="AC82" s="190">
        <v>50</v>
      </c>
    </row>
    <row r="83" spans="1:110" s="187" customFormat="1" ht="28" hidden="1" x14ac:dyDescent="0.35">
      <c r="B83" s="114" t="str">
        <f t="shared" si="34"/>
        <v>Renewables - Solar PVSingle Family Home Detached</v>
      </c>
      <c r="C83" s="193" t="s">
        <v>199</v>
      </c>
      <c r="D83" s="194" t="s">
        <v>209</v>
      </c>
      <c r="E83" s="117">
        <v>0.01</v>
      </c>
      <c r="F83" s="117">
        <v>0.1</v>
      </c>
      <c r="G83" s="117">
        <v>0.01</v>
      </c>
      <c r="H83" s="117">
        <v>0.05</v>
      </c>
      <c r="I83" s="117">
        <f t="shared" si="35"/>
        <v>3.0000000000000002E-2</v>
      </c>
      <c r="J83" s="188">
        <f>VLOOKUP(D83,'Existing Building EUI'!$B$7:$E$16,3,FALSE)</f>
        <v>203</v>
      </c>
      <c r="K83" s="188">
        <f>VLOOKUP(D83,'Existing Building EUI'!$B$7:$E$16,4,FALSE)</f>
        <v>38</v>
      </c>
      <c r="L83" s="189">
        <v>0</v>
      </c>
      <c r="M83" s="117">
        <v>0</v>
      </c>
      <c r="N83" s="183">
        <v>0.04</v>
      </c>
      <c r="O83" s="134">
        <v>0.5</v>
      </c>
      <c r="P83" s="189">
        <v>0</v>
      </c>
      <c r="Q83" s="117">
        <v>0</v>
      </c>
      <c r="R83" s="117">
        <v>0</v>
      </c>
      <c r="S83" s="117">
        <v>0</v>
      </c>
      <c r="T83" s="131">
        <f t="shared" si="41"/>
        <v>203</v>
      </c>
      <c r="U83" s="131">
        <f t="shared" si="42"/>
        <v>203</v>
      </c>
      <c r="V83" s="131">
        <f t="shared" si="36"/>
        <v>36.479999999999997</v>
      </c>
      <c r="W83" s="131">
        <f t="shared" si="37"/>
        <v>19</v>
      </c>
      <c r="X83" s="131">
        <f t="shared" si="38"/>
        <v>0</v>
      </c>
      <c r="Y83" s="131">
        <f t="shared" si="29"/>
        <v>0</v>
      </c>
      <c r="Z83" s="183">
        <f t="shared" si="39"/>
        <v>6.3070539419087558E-3</v>
      </c>
      <c r="AA83" s="134">
        <f t="shared" si="40"/>
        <v>7.8838174273858919E-2</v>
      </c>
      <c r="AB83" s="190">
        <v>26</v>
      </c>
      <c r="AC83" s="190">
        <v>50</v>
      </c>
    </row>
    <row r="84" spans="1:110" s="187" customFormat="1" ht="28" hidden="1" x14ac:dyDescent="0.35">
      <c r="B84" s="114" t="str">
        <f t="shared" si="34"/>
        <v>Renewables - Solar ThermalMid Rise Office</v>
      </c>
      <c r="C84" s="193" t="s">
        <v>200</v>
      </c>
      <c r="D84" s="194" t="s">
        <v>178</v>
      </c>
      <c r="E84" s="117">
        <v>0.01</v>
      </c>
      <c r="F84" s="117">
        <v>0.1</v>
      </c>
      <c r="G84" s="117">
        <v>0.01</v>
      </c>
      <c r="H84" s="117">
        <v>0.03</v>
      </c>
      <c r="I84" s="117">
        <f t="shared" si="35"/>
        <v>0.02</v>
      </c>
      <c r="J84" s="188">
        <f>VLOOKUP(D84,'Existing Building EUI'!$B$7:$E$16,3,FALSE)</f>
        <v>270</v>
      </c>
      <c r="K84" s="188">
        <f>VLOOKUP(D84,'Existing Building EUI'!$B$7:$E$16,4,FALSE)</f>
        <v>219</v>
      </c>
      <c r="L84" s="189">
        <v>0</v>
      </c>
      <c r="M84" s="117">
        <v>0</v>
      </c>
      <c r="N84" s="183">
        <v>0</v>
      </c>
      <c r="O84" s="134">
        <v>0</v>
      </c>
      <c r="P84" s="189">
        <v>0.02</v>
      </c>
      <c r="Q84" s="117">
        <v>0.1</v>
      </c>
      <c r="R84" s="117">
        <v>0</v>
      </c>
      <c r="S84" s="117">
        <v>0</v>
      </c>
      <c r="T84" s="131">
        <f t="shared" si="41"/>
        <v>270</v>
      </c>
      <c r="U84" s="131">
        <f t="shared" si="42"/>
        <v>270</v>
      </c>
      <c r="V84" s="131">
        <f t="shared" si="36"/>
        <v>219</v>
      </c>
      <c r="W84" s="131">
        <f t="shared" si="37"/>
        <v>219</v>
      </c>
      <c r="X84" s="131">
        <f t="shared" si="38"/>
        <v>-5.4</v>
      </c>
      <c r="Y84" s="131">
        <f t="shared" si="29"/>
        <v>27</v>
      </c>
      <c r="Z84" s="183">
        <f t="shared" si="39"/>
        <v>1.1042944785276027E-2</v>
      </c>
      <c r="AA84" s="134">
        <f t="shared" si="40"/>
        <v>-5.5214723926380369E-2</v>
      </c>
      <c r="AB84" s="190">
        <v>26</v>
      </c>
      <c r="AC84" s="190">
        <v>50</v>
      </c>
    </row>
    <row r="85" spans="1:110" s="187" customFormat="1" ht="28" hidden="1" x14ac:dyDescent="0.35">
      <c r="B85" s="114" t="str">
        <f t="shared" si="34"/>
        <v>Renewables - Solar ThermalEducational Facility</v>
      </c>
      <c r="C85" s="193" t="s">
        <v>200</v>
      </c>
      <c r="D85" s="194" t="s">
        <v>179</v>
      </c>
      <c r="E85" s="117">
        <v>0.01</v>
      </c>
      <c r="F85" s="117">
        <v>0.1</v>
      </c>
      <c r="G85" s="117">
        <v>0.01</v>
      </c>
      <c r="H85" s="117">
        <v>0.03</v>
      </c>
      <c r="I85" s="117">
        <f t="shared" si="35"/>
        <v>0.02</v>
      </c>
      <c r="J85" s="188">
        <f>VLOOKUP(D85,'Existing Building EUI'!$B$7:$E$16,3,FALSE)</f>
        <v>201</v>
      </c>
      <c r="K85" s="188">
        <f>VLOOKUP(D85,'Existing Building EUI'!$B$7:$E$16,4,FALSE)</f>
        <v>284</v>
      </c>
      <c r="L85" s="189">
        <v>0</v>
      </c>
      <c r="M85" s="117">
        <v>0</v>
      </c>
      <c r="N85" s="183">
        <v>0</v>
      </c>
      <c r="O85" s="134">
        <v>0</v>
      </c>
      <c r="P85" s="189">
        <v>0.02</v>
      </c>
      <c r="Q85" s="117">
        <v>0.1</v>
      </c>
      <c r="R85" s="117">
        <v>0</v>
      </c>
      <c r="S85" s="117">
        <v>0</v>
      </c>
      <c r="T85" s="131">
        <f t="shared" si="41"/>
        <v>201</v>
      </c>
      <c r="U85" s="131">
        <f t="shared" si="42"/>
        <v>201</v>
      </c>
      <c r="V85" s="131">
        <f t="shared" si="36"/>
        <v>284</v>
      </c>
      <c r="W85" s="131">
        <f t="shared" si="37"/>
        <v>284</v>
      </c>
      <c r="X85" s="131">
        <f t="shared" si="38"/>
        <v>-4.0200000000000005</v>
      </c>
      <c r="Y85" s="131">
        <f t="shared" si="29"/>
        <v>20.100000000000001</v>
      </c>
      <c r="Z85" s="183">
        <f t="shared" si="39"/>
        <v>8.2886597938143947E-3</v>
      </c>
      <c r="AA85" s="134">
        <f t="shared" si="40"/>
        <v>-4.1443298969072215E-2</v>
      </c>
      <c r="AB85" s="190">
        <v>26</v>
      </c>
      <c r="AC85" s="190">
        <v>50</v>
      </c>
    </row>
    <row r="86" spans="1:110" s="187" customFormat="1" ht="28" hidden="1" x14ac:dyDescent="0.35">
      <c r="B86" s="114" t="str">
        <f t="shared" si="34"/>
        <v>Renewables - Solar ThermalLow Rise Office</v>
      </c>
      <c r="C86" s="193" t="s">
        <v>200</v>
      </c>
      <c r="D86" s="194" t="s">
        <v>181</v>
      </c>
      <c r="E86" s="117">
        <v>0.01</v>
      </c>
      <c r="F86" s="117">
        <v>0.1</v>
      </c>
      <c r="G86" s="117">
        <v>0.01</v>
      </c>
      <c r="H86" s="117">
        <v>0.05</v>
      </c>
      <c r="I86" s="117">
        <f t="shared" si="35"/>
        <v>3.0000000000000002E-2</v>
      </c>
      <c r="J86" s="188">
        <f>VLOOKUP(D86,'Existing Building EUI'!$B$7:$E$16,3,FALSE)</f>
        <v>149</v>
      </c>
      <c r="K86" s="188">
        <f>VLOOKUP(D86,'Existing Building EUI'!$B$7:$E$16,4,FALSE)</f>
        <v>204</v>
      </c>
      <c r="L86" s="189">
        <v>0</v>
      </c>
      <c r="M86" s="117">
        <v>0</v>
      </c>
      <c r="N86" s="183">
        <v>0</v>
      </c>
      <c r="O86" s="134">
        <v>0</v>
      </c>
      <c r="P86" s="189">
        <v>0.02</v>
      </c>
      <c r="Q86" s="117">
        <v>0.1</v>
      </c>
      <c r="R86" s="117">
        <v>0</v>
      </c>
      <c r="S86" s="117">
        <v>0</v>
      </c>
      <c r="T86" s="131">
        <f t="shared" si="41"/>
        <v>149</v>
      </c>
      <c r="U86" s="131">
        <f t="shared" si="42"/>
        <v>149</v>
      </c>
      <c r="V86" s="131">
        <f t="shared" si="36"/>
        <v>204</v>
      </c>
      <c r="W86" s="131">
        <f t="shared" si="37"/>
        <v>204</v>
      </c>
      <c r="X86" s="131">
        <f t="shared" si="38"/>
        <v>-2.98</v>
      </c>
      <c r="Y86" s="131">
        <f t="shared" si="29"/>
        <v>14.9</v>
      </c>
      <c r="Z86" s="183">
        <f t="shared" si="39"/>
        <v>8.4419263456091166E-3</v>
      </c>
      <c r="AA86" s="134">
        <f t="shared" si="40"/>
        <v>-4.220963172804526E-2</v>
      </c>
      <c r="AB86" s="190">
        <v>26</v>
      </c>
      <c r="AC86" s="190">
        <v>50</v>
      </c>
    </row>
    <row r="87" spans="1:110" s="187" customFormat="1" ht="14.5" hidden="1" x14ac:dyDescent="0.35">
      <c r="B87" s="114" t="str">
        <f t="shared" si="34"/>
        <v>Renewables - Solar ThermalMixed Use</v>
      </c>
      <c r="C87" s="193" t="s">
        <v>200</v>
      </c>
      <c r="D87" s="194" t="s">
        <v>160</v>
      </c>
      <c r="E87" s="117">
        <v>0.01</v>
      </c>
      <c r="F87" s="117">
        <v>0.1</v>
      </c>
      <c r="G87" s="117">
        <v>0.01</v>
      </c>
      <c r="H87" s="117">
        <v>0.05</v>
      </c>
      <c r="I87" s="117">
        <f t="shared" si="35"/>
        <v>3.0000000000000002E-2</v>
      </c>
      <c r="J87" s="188">
        <f>VLOOKUP(D87,'Existing Building EUI'!$B$7:$E$16,3,FALSE)</f>
        <v>268</v>
      </c>
      <c r="K87" s="188">
        <f>VLOOKUP(D87,'Existing Building EUI'!$B$7:$E$16,4,FALSE)</f>
        <v>322</v>
      </c>
      <c r="L87" s="189">
        <v>0</v>
      </c>
      <c r="M87" s="117">
        <v>0</v>
      </c>
      <c r="N87" s="183">
        <v>0</v>
      </c>
      <c r="O87" s="134">
        <v>0</v>
      </c>
      <c r="P87" s="189">
        <v>0.02</v>
      </c>
      <c r="Q87" s="117">
        <v>0.1</v>
      </c>
      <c r="R87" s="117">
        <v>0</v>
      </c>
      <c r="S87" s="117">
        <v>0</v>
      </c>
      <c r="T87" s="131">
        <f t="shared" si="41"/>
        <v>268</v>
      </c>
      <c r="U87" s="131">
        <f t="shared" si="42"/>
        <v>268</v>
      </c>
      <c r="V87" s="131">
        <f t="shared" si="36"/>
        <v>322</v>
      </c>
      <c r="W87" s="131">
        <f t="shared" si="37"/>
        <v>322</v>
      </c>
      <c r="X87" s="131">
        <f t="shared" si="38"/>
        <v>-5.36</v>
      </c>
      <c r="Y87" s="131">
        <f t="shared" si="29"/>
        <v>26.8</v>
      </c>
      <c r="Z87" s="183">
        <f t="shared" si="39"/>
        <v>9.0847457627118867E-3</v>
      </c>
      <c r="AA87" s="134">
        <f t="shared" si="40"/>
        <v>-4.5423728813559244E-2</v>
      </c>
      <c r="AB87" s="190">
        <v>26</v>
      </c>
      <c r="AC87" s="190">
        <v>50</v>
      </c>
    </row>
    <row r="88" spans="1:110" s="187" customFormat="1" ht="28" hidden="1" x14ac:dyDescent="0.35">
      <c r="B88" s="114" t="str">
        <f t="shared" si="34"/>
        <v>Renewables - Solar ThermalCondominium</v>
      </c>
      <c r="C88" s="193" t="s">
        <v>200</v>
      </c>
      <c r="D88" s="194" t="s">
        <v>161</v>
      </c>
      <c r="E88" s="117">
        <v>0.01</v>
      </c>
      <c r="F88" s="117">
        <v>0.1</v>
      </c>
      <c r="G88" s="117">
        <v>0.01</v>
      </c>
      <c r="H88" s="117">
        <v>0.05</v>
      </c>
      <c r="I88" s="117">
        <f t="shared" si="35"/>
        <v>3.0000000000000002E-2</v>
      </c>
      <c r="J88" s="188">
        <f>VLOOKUP(D88,'Existing Building EUI'!$B$7:$E$16,3,FALSE)</f>
        <v>215</v>
      </c>
      <c r="K88" s="188">
        <f>VLOOKUP(D88,'Existing Building EUI'!$B$7:$E$16,4,FALSE)</f>
        <v>93</v>
      </c>
      <c r="L88" s="189">
        <v>0</v>
      </c>
      <c r="M88" s="117">
        <v>0</v>
      </c>
      <c r="N88" s="183">
        <v>0</v>
      </c>
      <c r="O88" s="134">
        <v>0</v>
      </c>
      <c r="P88" s="189">
        <v>0.02</v>
      </c>
      <c r="Q88" s="117">
        <v>0.1</v>
      </c>
      <c r="R88" s="117">
        <v>0</v>
      </c>
      <c r="S88" s="117">
        <v>0</v>
      </c>
      <c r="T88" s="131">
        <f t="shared" si="41"/>
        <v>215</v>
      </c>
      <c r="U88" s="131">
        <f t="shared" si="42"/>
        <v>215</v>
      </c>
      <c r="V88" s="131">
        <f t="shared" si="36"/>
        <v>93</v>
      </c>
      <c r="W88" s="131">
        <f t="shared" si="37"/>
        <v>93</v>
      </c>
      <c r="X88" s="131">
        <f t="shared" si="38"/>
        <v>-4.3</v>
      </c>
      <c r="Y88" s="131">
        <f t="shared" si="29"/>
        <v>21.5</v>
      </c>
      <c r="Z88" s="183">
        <f t="shared" si="39"/>
        <v>1.3961038961038999E-2</v>
      </c>
      <c r="AA88" s="134">
        <f t="shared" si="40"/>
        <v>-6.9805194805194801E-2</v>
      </c>
      <c r="AB88" s="190">
        <v>26</v>
      </c>
      <c r="AC88" s="190">
        <v>50</v>
      </c>
    </row>
    <row r="89" spans="1:110" s="187" customFormat="1" ht="28" hidden="1" x14ac:dyDescent="0.35">
      <c r="B89" s="114" t="str">
        <f t="shared" si="34"/>
        <v>Renewables - Solar ThermalLow Rise Rental Apartment</v>
      </c>
      <c r="C89" s="193" t="s">
        <v>200</v>
      </c>
      <c r="D89" s="194" t="s">
        <v>183</v>
      </c>
      <c r="E89" s="117">
        <v>0.01</v>
      </c>
      <c r="F89" s="117">
        <v>0.1</v>
      </c>
      <c r="G89" s="117">
        <v>0.01</v>
      </c>
      <c r="H89" s="117">
        <v>0.05</v>
      </c>
      <c r="I89" s="117">
        <f t="shared" si="35"/>
        <v>3.0000000000000002E-2</v>
      </c>
      <c r="J89" s="188">
        <f>VLOOKUP(D89,'Existing Building EUI'!$B$7:$E$16,3,FALSE)</f>
        <v>234</v>
      </c>
      <c r="K89" s="188">
        <f>VLOOKUP(D89,'Existing Building EUI'!$B$7:$E$16,4,FALSE)</f>
        <v>107</v>
      </c>
      <c r="L89" s="189">
        <v>0</v>
      </c>
      <c r="M89" s="117">
        <v>0</v>
      </c>
      <c r="N89" s="183">
        <v>0</v>
      </c>
      <c r="O89" s="134">
        <v>0</v>
      </c>
      <c r="P89" s="189">
        <v>0.02</v>
      </c>
      <c r="Q89" s="117">
        <v>0.1</v>
      </c>
      <c r="R89" s="117">
        <v>0</v>
      </c>
      <c r="S89" s="117">
        <v>0</v>
      </c>
      <c r="T89" s="131">
        <f t="shared" si="41"/>
        <v>234</v>
      </c>
      <c r="U89" s="131">
        <f t="shared" si="42"/>
        <v>234</v>
      </c>
      <c r="V89" s="131">
        <f t="shared" si="36"/>
        <v>107</v>
      </c>
      <c r="W89" s="131">
        <f t="shared" si="37"/>
        <v>107</v>
      </c>
      <c r="X89" s="131">
        <f t="shared" si="38"/>
        <v>-4.68</v>
      </c>
      <c r="Y89" s="131">
        <f t="shared" si="29"/>
        <v>23.400000000000002</v>
      </c>
      <c r="Z89" s="183">
        <f t="shared" si="39"/>
        <v>1.3724340175953099E-2</v>
      </c>
      <c r="AA89" s="134">
        <f t="shared" si="40"/>
        <v>-6.8621700879765324E-2</v>
      </c>
      <c r="AB89" s="190">
        <v>26</v>
      </c>
      <c r="AC89" s="190">
        <v>50</v>
      </c>
    </row>
    <row r="90" spans="1:110" s="187" customFormat="1" ht="28" hidden="1" x14ac:dyDescent="0.35">
      <c r="B90" s="114" t="str">
        <f t="shared" si="34"/>
        <v>Renewables - Solar ThermalSingle Family Home Attached</v>
      </c>
      <c r="C90" s="193" t="s">
        <v>200</v>
      </c>
      <c r="D90" s="194" t="s">
        <v>182</v>
      </c>
      <c r="E90" s="117">
        <v>0.05</v>
      </c>
      <c r="F90" s="117">
        <v>0.15</v>
      </c>
      <c r="G90" s="117">
        <v>0.1</v>
      </c>
      <c r="H90" s="117">
        <v>0.2</v>
      </c>
      <c r="I90" s="117">
        <f t="shared" si="35"/>
        <v>0.15000000000000002</v>
      </c>
      <c r="J90" s="188">
        <f>VLOOKUP(D90,'Existing Building EUI'!$B$7:$E$16,3,FALSE)</f>
        <v>147</v>
      </c>
      <c r="K90" s="188">
        <f>VLOOKUP(D90,'Existing Building EUI'!$B$7:$E$16,4,FALSE)</f>
        <v>43</v>
      </c>
      <c r="L90" s="189">
        <v>0</v>
      </c>
      <c r="M90" s="117">
        <v>0</v>
      </c>
      <c r="N90" s="183">
        <v>0</v>
      </c>
      <c r="O90" s="134">
        <v>0</v>
      </c>
      <c r="P90" s="189">
        <v>7.0000000000000007E-2</v>
      </c>
      <c r="Q90" s="117">
        <v>0.2</v>
      </c>
      <c r="R90" s="117">
        <v>0</v>
      </c>
      <c r="S90" s="117">
        <v>0</v>
      </c>
      <c r="T90" s="131">
        <f t="shared" si="41"/>
        <v>147</v>
      </c>
      <c r="U90" s="131">
        <f t="shared" si="42"/>
        <v>147</v>
      </c>
      <c r="V90" s="131">
        <f t="shared" si="36"/>
        <v>43</v>
      </c>
      <c r="W90" s="131">
        <f t="shared" si="37"/>
        <v>43</v>
      </c>
      <c r="X90" s="131">
        <f t="shared" si="38"/>
        <v>-10.290000000000001</v>
      </c>
      <c r="Y90" s="131">
        <f t="shared" si="29"/>
        <v>29.400000000000002</v>
      </c>
      <c r="Z90" s="183">
        <f t="shared" si="39"/>
        <v>5.4157894736842065E-2</v>
      </c>
      <c r="AA90" s="134">
        <f t="shared" si="40"/>
        <v>-0.1547368421052632</v>
      </c>
      <c r="AB90" s="190">
        <v>26</v>
      </c>
      <c r="AC90" s="190">
        <v>50</v>
      </c>
    </row>
    <row r="91" spans="1:110" s="187" customFormat="1" ht="28" hidden="1" x14ac:dyDescent="0.35">
      <c r="B91" s="114" t="str">
        <f t="shared" si="34"/>
        <v>Renewables - Solar ThermalSingle Family Home Detached</v>
      </c>
      <c r="C91" s="193" t="s">
        <v>200</v>
      </c>
      <c r="D91" s="194" t="s">
        <v>209</v>
      </c>
      <c r="E91" s="117">
        <v>0.05</v>
      </c>
      <c r="F91" s="117">
        <v>0.15</v>
      </c>
      <c r="G91" s="117">
        <v>0.1</v>
      </c>
      <c r="H91" s="117">
        <v>0.2</v>
      </c>
      <c r="I91" s="117">
        <f t="shared" si="35"/>
        <v>0.15000000000000002</v>
      </c>
      <c r="J91" s="188">
        <f>VLOOKUP(D91,'Existing Building EUI'!$B$7:$E$16,3,FALSE)</f>
        <v>203</v>
      </c>
      <c r="K91" s="188">
        <f>VLOOKUP(D91,'Existing Building EUI'!$B$7:$E$16,4,FALSE)</f>
        <v>38</v>
      </c>
      <c r="L91" s="189">
        <v>0</v>
      </c>
      <c r="M91" s="117">
        <v>0</v>
      </c>
      <c r="N91" s="183">
        <v>0</v>
      </c>
      <c r="O91" s="134">
        <v>0</v>
      </c>
      <c r="P91" s="189">
        <v>0.06</v>
      </c>
      <c r="Q91" s="117">
        <v>0.18</v>
      </c>
      <c r="R91" s="117">
        <v>0</v>
      </c>
      <c r="S91" s="117">
        <v>0</v>
      </c>
      <c r="T91" s="131">
        <f t="shared" si="41"/>
        <v>203</v>
      </c>
      <c r="U91" s="131">
        <f t="shared" si="42"/>
        <v>203</v>
      </c>
      <c r="V91" s="131">
        <f t="shared" si="36"/>
        <v>38</v>
      </c>
      <c r="W91" s="131">
        <f t="shared" si="37"/>
        <v>38</v>
      </c>
      <c r="X91" s="131">
        <f t="shared" si="38"/>
        <v>-12.18</v>
      </c>
      <c r="Y91" s="131">
        <f t="shared" si="29"/>
        <v>36.54</v>
      </c>
      <c r="Z91" s="183">
        <f t="shared" si="39"/>
        <v>5.0539419087136959E-2</v>
      </c>
      <c r="AA91" s="134">
        <f t="shared" si="40"/>
        <v>-0.15161825726141087</v>
      </c>
      <c r="AB91" s="190">
        <v>26</v>
      </c>
      <c r="AC91" s="190">
        <v>50</v>
      </c>
    </row>
    <row r="94" spans="1:110" x14ac:dyDescent="0.3">
      <c r="E94" s="128"/>
    </row>
    <row r="95" spans="1:110" x14ac:dyDescent="0.3">
      <c r="E95" s="129"/>
      <c r="F95" s="128"/>
      <c r="M95" s="130"/>
      <c r="N95" s="182"/>
      <c r="O95" s="163"/>
      <c r="P95" s="163"/>
    </row>
    <row r="96" spans="1:110" s="106" customFormat="1" x14ac:dyDescent="0.3">
      <c r="A96" s="104"/>
      <c r="B96" s="104"/>
      <c r="C96" s="104"/>
      <c r="D96" s="104"/>
      <c r="E96" s="128"/>
      <c r="F96" s="128"/>
      <c r="L96" s="181"/>
      <c r="M96" s="130"/>
      <c r="N96" s="182"/>
      <c r="O96" s="163"/>
      <c r="P96" s="163"/>
      <c r="Q96" s="130"/>
      <c r="R96" s="130"/>
      <c r="AB96" s="107"/>
      <c r="AC96" s="107"/>
      <c r="AD96" s="104"/>
      <c r="AE96" s="104"/>
      <c r="AF96" s="104"/>
      <c r="AG96" s="104"/>
      <c r="AH96" s="104"/>
      <c r="AI96" s="104"/>
      <c r="AJ96" s="104"/>
      <c r="AK96" s="104"/>
      <c r="AL96" s="104"/>
      <c r="AM96" s="104"/>
      <c r="AN96" s="104"/>
      <c r="AO96" s="104"/>
      <c r="AP96" s="104"/>
      <c r="AQ96" s="104"/>
      <c r="AR96" s="104"/>
      <c r="AS96" s="104"/>
      <c r="AT96" s="104"/>
      <c r="AU96" s="104"/>
      <c r="AV96" s="104"/>
      <c r="AW96" s="104"/>
      <c r="AX96" s="104"/>
      <c r="AY96" s="104"/>
      <c r="AZ96" s="104"/>
      <c r="BA96" s="104"/>
      <c r="BB96" s="104"/>
      <c r="BC96" s="104"/>
      <c r="BD96" s="104"/>
      <c r="BE96" s="104"/>
      <c r="BF96" s="104"/>
      <c r="BG96" s="104"/>
      <c r="BH96" s="104"/>
      <c r="BI96" s="104"/>
      <c r="BJ96" s="104"/>
      <c r="BK96" s="104"/>
      <c r="BL96" s="104"/>
      <c r="BM96" s="104"/>
      <c r="BN96" s="104"/>
      <c r="BO96" s="104"/>
      <c r="BP96" s="104"/>
      <c r="BQ96" s="104"/>
      <c r="BR96" s="104"/>
      <c r="BS96" s="104"/>
      <c r="BT96" s="104"/>
      <c r="BU96" s="104"/>
      <c r="BV96" s="104"/>
      <c r="BW96" s="104"/>
      <c r="BX96" s="104"/>
      <c r="BY96" s="104"/>
      <c r="BZ96" s="104"/>
      <c r="CA96" s="104"/>
      <c r="CB96" s="104"/>
      <c r="CC96" s="104"/>
      <c r="CD96" s="104"/>
      <c r="CE96" s="104"/>
      <c r="CF96" s="104"/>
      <c r="CG96" s="104"/>
      <c r="CH96" s="104"/>
      <c r="CI96" s="104"/>
      <c r="CJ96" s="104"/>
      <c r="CK96" s="104"/>
      <c r="CL96" s="104"/>
      <c r="CM96" s="104"/>
      <c r="CN96" s="104"/>
      <c r="CO96" s="104"/>
      <c r="CP96" s="104"/>
      <c r="CQ96" s="104"/>
      <c r="CR96" s="104"/>
      <c r="CS96" s="104"/>
      <c r="CT96" s="104"/>
      <c r="CU96" s="104"/>
      <c r="CV96" s="104"/>
      <c r="CW96" s="104"/>
      <c r="CX96" s="104"/>
      <c r="CY96" s="104"/>
      <c r="CZ96" s="104"/>
      <c r="DA96" s="104"/>
      <c r="DB96" s="104"/>
      <c r="DC96" s="104"/>
      <c r="DD96" s="104"/>
      <c r="DE96" s="104"/>
      <c r="DF96" s="104"/>
    </row>
    <row r="97" spans="1:110" s="106" customFormat="1" x14ac:dyDescent="0.3">
      <c r="A97" s="104"/>
      <c r="B97" s="104"/>
      <c r="C97" s="104"/>
      <c r="D97" s="104"/>
      <c r="E97" s="128"/>
      <c r="F97" s="104"/>
      <c r="L97" s="181"/>
      <c r="M97" s="130"/>
      <c r="N97" s="182"/>
      <c r="O97" s="163"/>
      <c r="P97" s="163"/>
      <c r="Q97" s="130"/>
      <c r="R97" s="130"/>
      <c r="AB97" s="107"/>
      <c r="AC97" s="107"/>
      <c r="AD97" s="104"/>
      <c r="AE97" s="104"/>
      <c r="AF97" s="104"/>
      <c r="AG97" s="104"/>
      <c r="AH97" s="104"/>
      <c r="AI97" s="104"/>
      <c r="AJ97" s="104"/>
      <c r="AK97" s="104"/>
      <c r="AL97" s="104"/>
      <c r="AM97" s="104"/>
      <c r="AN97" s="104"/>
      <c r="AO97" s="104"/>
      <c r="AP97" s="104"/>
      <c r="AQ97" s="104"/>
      <c r="AR97" s="104"/>
      <c r="AS97" s="104"/>
      <c r="AT97" s="104"/>
      <c r="AU97" s="104"/>
      <c r="AV97" s="104"/>
      <c r="AW97" s="104"/>
      <c r="AX97" s="104"/>
      <c r="AY97" s="104"/>
      <c r="AZ97" s="104"/>
      <c r="BA97" s="104"/>
      <c r="BB97" s="104"/>
      <c r="BC97" s="104"/>
      <c r="BD97" s="104"/>
      <c r="BE97" s="104"/>
      <c r="BF97" s="104"/>
      <c r="BG97" s="104"/>
      <c r="BH97" s="104"/>
      <c r="BI97" s="104"/>
      <c r="BJ97" s="104"/>
      <c r="BK97" s="104"/>
      <c r="BL97" s="104"/>
      <c r="BM97" s="104"/>
      <c r="BN97" s="104"/>
      <c r="BO97" s="104"/>
      <c r="BP97" s="104"/>
      <c r="BQ97" s="104"/>
      <c r="BR97" s="104"/>
      <c r="BS97" s="104"/>
      <c r="BT97" s="104"/>
      <c r="BU97" s="104"/>
      <c r="BV97" s="104"/>
      <c r="BW97" s="104"/>
      <c r="BX97" s="104"/>
      <c r="BY97" s="104"/>
      <c r="BZ97" s="104"/>
      <c r="CA97" s="104"/>
      <c r="CB97" s="104"/>
      <c r="CC97" s="104"/>
      <c r="CD97" s="104"/>
      <c r="CE97" s="104"/>
      <c r="CF97" s="104"/>
      <c r="CG97" s="104"/>
      <c r="CH97" s="104"/>
      <c r="CI97" s="104"/>
      <c r="CJ97" s="104"/>
      <c r="CK97" s="104"/>
      <c r="CL97" s="104"/>
      <c r="CM97" s="104"/>
      <c r="CN97" s="104"/>
      <c r="CO97" s="104"/>
      <c r="CP97" s="104"/>
      <c r="CQ97" s="104"/>
      <c r="CR97" s="104"/>
      <c r="CS97" s="104"/>
      <c r="CT97" s="104"/>
      <c r="CU97" s="104"/>
      <c r="CV97" s="104"/>
      <c r="CW97" s="104"/>
      <c r="CX97" s="104"/>
      <c r="CY97" s="104"/>
      <c r="CZ97" s="104"/>
      <c r="DA97" s="104"/>
      <c r="DB97" s="104"/>
      <c r="DC97" s="104"/>
      <c r="DD97" s="104"/>
      <c r="DE97" s="104"/>
      <c r="DF97" s="104"/>
    </row>
    <row r="98" spans="1:110" s="106" customFormat="1" x14ac:dyDescent="0.3">
      <c r="A98" s="104"/>
      <c r="B98" s="104"/>
      <c r="C98" s="104"/>
      <c r="D98" s="104"/>
      <c r="E98" s="128"/>
      <c r="F98" s="104"/>
      <c r="L98" s="181"/>
      <c r="N98" s="181"/>
      <c r="O98" s="162"/>
      <c r="P98" s="162"/>
      <c r="AB98" s="107"/>
      <c r="AC98" s="107"/>
      <c r="AD98" s="104"/>
      <c r="AE98" s="104"/>
      <c r="AF98" s="104"/>
      <c r="AG98" s="104"/>
      <c r="AH98" s="104"/>
      <c r="AI98" s="104"/>
      <c r="AJ98" s="104"/>
      <c r="AK98" s="104"/>
      <c r="AL98" s="104"/>
      <c r="AM98" s="104"/>
      <c r="AN98" s="104"/>
      <c r="AO98" s="104"/>
      <c r="AP98" s="104"/>
      <c r="AQ98" s="104"/>
      <c r="AR98" s="104"/>
      <c r="AS98" s="104"/>
      <c r="AT98" s="104"/>
      <c r="AU98" s="104"/>
      <c r="AV98" s="104"/>
      <c r="AW98" s="104"/>
      <c r="AX98" s="104"/>
      <c r="AY98" s="104"/>
      <c r="AZ98" s="104"/>
      <c r="BA98" s="104"/>
      <c r="BB98" s="104"/>
      <c r="BC98" s="104"/>
      <c r="BD98" s="104"/>
      <c r="BE98" s="104"/>
      <c r="BF98" s="104"/>
      <c r="BG98" s="104"/>
      <c r="BH98" s="104"/>
      <c r="BI98" s="104"/>
      <c r="BJ98" s="104"/>
      <c r="BK98" s="104"/>
      <c r="BL98" s="104"/>
      <c r="BM98" s="104"/>
      <c r="BN98" s="104"/>
      <c r="BO98" s="104"/>
      <c r="BP98" s="104"/>
      <c r="BQ98" s="104"/>
      <c r="BR98" s="104"/>
      <c r="BS98" s="104"/>
      <c r="BT98" s="104"/>
      <c r="BU98" s="104"/>
      <c r="BV98" s="104"/>
      <c r="BW98" s="104"/>
      <c r="BX98" s="104"/>
      <c r="BY98" s="104"/>
      <c r="BZ98" s="104"/>
      <c r="CA98" s="104"/>
      <c r="CB98" s="104"/>
      <c r="CC98" s="104"/>
      <c r="CD98" s="104"/>
      <c r="CE98" s="104"/>
      <c r="CF98" s="104"/>
      <c r="CG98" s="104"/>
      <c r="CH98" s="104"/>
      <c r="CI98" s="104"/>
      <c r="CJ98" s="104"/>
      <c r="CK98" s="104"/>
      <c r="CL98" s="104"/>
      <c r="CM98" s="104"/>
      <c r="CN98" s="104"/>
      <c r="CO98" s="104"/>
      <c r="CP98" s="104"/>
      <c r="CQ98" s="104"/>
      <c r="CR98" s="104"/>
      <c r="CS98" s="104"/>
      <c r="CT98" s="104"/>
      <c r="CU98" s="104"/>
      <c r="CV98" s="104"/>
      <c r="CW98" s="104"/>
      <c r="CX98" s="104"/>
      <c r="CY98" s="104"/>
      <c r="CZ98" s="104"/>
      <c r="DA98" s="104"/>
      <c r="DB98" s="104"/>
      <c r="DC98" s="104"/>
      <c r="DD98" s="104"/>
      <c r="DE98" s="104"/>
      <c r="DF98" s="104"/>
    </row>
    <row r="99" spans="1:110" s="106" customFormat="1" x14ac:dyDescent="0.3">
      <c r="A99" s="104"/>
      <c r="B99" s="104"/>
      <c r="C99" s="104"/>
      <c r="D99" s="104"/>
      <c r="E99" s="128"/>
      <c r="F99" s="104"/>
      <c r="L99" s="181"/>
      <c r="M99" s="130"/>
      <c r="N99" s="182"/>
      <c r="O99" s="163"/>
      <c r="P99" s="163"/>
      <c r="AB99" s="107"/>
      <c r="AC99" s="107"/>
      <c r="AD99" s="104"/>
      <c r="AE99" s="104"/>
      <c r="AF99" s="104"/>
      <c r="AG99" s="104"/>
      <c r="AH99" s="104"/>
      <c r="AI99" s="104"/>
      <c r="AJ99" s="104"/>
      <c r="AK99" s="104"/>
      <c r="AL99" s="104"/>
      <c r="AM99" s="104"/>
      <c r="AN99" s="104"/>
      <c r="AO99" s="104"/>
      <c r="AP99" s="104"/>
      <c r="AQ99" s="104"/>
      <c r="AR99" s="104"/>
      <c r="AS99" s="104"/>
      <c r="AT99" s="104"/>
      <c r="AU99" s="104"/>
      <c r="AV99" s="104"/>
      <c r="AW99" s="104"/>
      <c r="AX99" s="104"/>
      <c r="AY99" s="104"/>
      <c r="AZ99" s="104"/>
      <c r="BA99" s="104"/>
      <c r="BB99" s="104"/>
      <c r="BC99" s="104"/>
      <c r="BD99" s="104"/>
      <c r="BE99" s="104"/>
      <c r="BF99" s="104"/>
      <c r="BG99" s="104"/>
      <c r="BH99" s="104"/>
      <c r="BI99" s="104"/>
      <c r="BJ99" s="104"/>
      <c r="BK99" s="104"/>
      <c r="BL99" s="104"/>
      <c r="BM99" s="104"/>
      <c r="BN99" s="104"/>
      <c r="BO99" s="104"/>
      <c r="BP99" s="104"/>
      <c r="BQ99" s="104"/>
      <c r="BR99" s="104"/>
      <c r="BS99" s="104"/>
      <c r="BT99" s="104"/>
      <c r="BU99" s="104"/>
      <c r="BV99" s="104"/>
      <c r="BW99" s="104"/>
      <c r="BX99" s="104"/>
      <c r="BY99" s="104"/>
      <c r="BZ99" s="104"/>
      <c r="CA99" s="104"/>
      <c r="CB99" s="104"/>
      <c r="CC99" s="104"/>
      <c r="CD99" s="104"/>
      <c r="CE99" s="104"/>
      <c r="CF99" s="104"/>
      <c r="CG99" s="104"/>
      <c r="CH99" s="104"/>
      <c r="CI99" s="104"/>
      <c r="CJ99" s="104"/>
      <c r="CK99" s="104"/>
      <c r="CL99" s="104"/>
      <c r="CM99" s="104"/>
      <c r="CN99" s="104"/>
      <c r="CO99" s="104"/>
      <c r="CP99" s="104"/>
      <c r="CQ99" s="104"/>
      <c r="CR99" s="104"/>
      <c r="CS99" s="104"/>
      <c r="CT99" s="104"/>
      <c r="CU99" s="104"/>
      <c r="CV99" s="104"/>
      <c r="CW99" s="104"/>
      <c r="CX99" s="104"/>
      <c r="CY99" s="104"/>
      <c r="CZ99" s="104"/>
      <c r="DA99" s="104"/>
      <c r="DB99" s="104"/>
      <c r="DC99" s="104"/>
      <c r="DD99" s="104"/>
      <c r="DE99" s="104"/>
      <c r="DF99" s="104"/>
    </row>
    <row r="100" spans="1:110" s="106" customFormat="1" x14ac:dyDescent="0.3">
      <c r="A100" s="104"/>
      <c r="B100" s="104"/>
      <c r="C100" s="104"/>
      <c r="D100" s="104"/>
      <c r="E100" s="128"/>
      <c r="F100" s="104"/>
      <c r="L100" s="181"/>
      <c r="N100" s="181"/>
      <c r="O100" s="162"/>
      <c r="P100" s="162"/>
      <c r="AB100" s="107"/>
      <c r="AC100" s="107"/>
      <c r="AD100" s="104"/>
      <c r="AE100" s="104"/>
      <c r="AF100" s="104"/>
      <c r="AG100" s="104"/>
      <c r="AH100" s="104"/>
      <c r="AI100" s="104"/>
      <c r="AJ100" s="104"/>
      <c r="AK100" s="104"/>
      <c r="AL100" s="104"/>
      <c r="AM100" s="104"/>
      <c r="AN100" s="104"/>
      <c r="AO100" s="104"/>
      <c r="AP100" s="104"/>
      <c r="AQ100" s="104"/>
      <c r="AR100" s="104"/>
      <c r="AS100" s="104"/>
      <c r="AT100" s="104"/>
      <c r="AU100" s="104"/>
      <c r="AV100" s="104"/>
      <c r="AW100" s="104"/>
      <c r="AX100" s="104"/>
      <c r="AY100" s="104"/>
      <c r="AZ100" s="104"/>
      <c r="BA100" s="104"/>
      <c r="BB100" s="104"/>
      <c r="BC100" s="104"/>
      <c r="BD100" s="104"/>
      <c r="BE100" s="104"/>
      <c r="BF100" s="104"/>
      <c r="BG100" s="104"/>
      <c r="BH100" s="104"/>
      <c r="BI100" s="104"/>
      <c r="BJ100" s="104"/>
      <c r="BK100" s="104"/>
      <c r="BL100" s="104"/>
      <c r="BM100" s="104"/>
      <c r="BN100" s="104"/>
      <c r="BO100" s="104"/>
      <c r="BP100" s="104"/>
      <c r="BQ100" s="104"/>
      <c r="BR100" s="104"/>
      <c r="BS100" s="104"/>
      <c r="BT100" s="104"/>
      <c r="BU100" s="104"/>
      <c r="BV100" s="104"/>
      <c r="BW100" s="104"/>
      <c r="BX100" s="104"/>
      <c r="BY100" s="104"/>
      <c r="BZ100" s="104"/>
      <c r="CA100" s="104"/>
      <c r="CB100" s="104"/>
      <c r="CC100" s="104"/>
      <c r="CD100" s="104"/>
      <c r="CE100" s="104"/>
      <c r="CF100" s="104"/>
      <c r="CG100" s="104"/>
      <c r="CH100" s="104"/>
      <c r="CI100" s="104"/>
      <c r="CJ100" s="104"/>
      <c r="CK100" s="104"/>
      <c r="CL100" s="104"/>
      <c r="CM100" s="104"/>
      <c r="CN100" s="104"/>
      <c r="CO100" s="104"/>
      <c r="CP100" s="104"/>
      <c r="CQ100" s="104"/>
      <c r="CR100" s="104"/>
      <c r="CS100" s="104"/>
      <c r="CT100" s="104"/>
      <c r="CU100" s="104"/>
      <c r="CV100" s="104"/>
      <c r="CW100" s="104"/>
      <c r="CX100" s="104"/>
      <c r="CY100" s="104"/>
      <c r="CZ100" s="104"/>
      <c r="DA100" s="104"/>
      <c r="DB100" s="104"/>
      <c r="DC100" s="104"/>
      <c r="DD100" s="104"/>
      <c r="DE100" s="104"/>
      <c r="DF100" s="104"/>
    </row>
    <row r="101" spans="1:110" s="106" customFormat="1" x14ac:dyDescent="0.3">
      <c r="A101" s="104"/>
      <c r="B101" s="104"/>
      <c r="C101" s="104"/>
      <c r="D101" s="104"/>
      <c r="E101" s="104"/>
      <c r="F101" s="104"/>
      <c r="L101" s="181"/>
      <c r="M101" s="130"/>
      <c r="N101" s="182"/>
      <c r="O101" s="163"/>
      <c r="P101" s="163"/>
      <c r="AB101" s="107"/>
      <c r="AC101" s="107"/>
      <c r="AD101" s="104"/>
      <c r="AE101" s="104"/>
      <c r="AF101" s="104"/>
      <c r="AG101" s="104"/>
      <c r="AH101" s="104"/>
      <c r="AI101" s="104"/>
      <c r="AJ101" s="104"/>
      <c r="AK101" s="104"/>
      <c r="AL101" s="104"/>
      <c r="AM101" s="104"/>
      <c r="AN101" s="104"/>
      <c r="AO101" s="104"/>
      <c r="AP101" s="104"/>
      <c r="AQ101" s="104"/>
      <c r="AR101" s="104"/>
      <c r="AS101" s="104"/>
      <c r="AT101" s="104"/>
      <c r="AU101" s="104"/>
      <c r="AV101" s="104"/>
      <c r="AW101" s="104"/>
      <c r="AX101" s="104"/>
      <c r="AY101" s="104"/>
      <c r="AZ101" s="104"/>
      <c r="BA101" s="104"/>
      <c r="BB101" s="104"/>
      <c r="BC101" s="104"/>
      <c r="BD101" s="104"/>
      <c r="BE101" s="104"/>
      <c r="BF101" s="104"/>
      <c r="BG101" s="104"/>
      <c r="BH101" s="104"/>
      <c r="BI101" s="104"/>
      <c r="BJ101" s="104"/>
      <c r="BK101" s="104"/>
      <c r="BL101" s="104"/>
      <c r="BM101" s="104"/>
      <c r="BN101" s="104"/>
      <c r="BO101" s="104"/>
      <c r="BP101" s="104"/>
      <c r="BQ101" s="104"/>
      <c r="BR101" s="104"/>
      <c r="BS101" s="104"/>
      <c r="BT101" s="104"/>
      <c r="BU101" s="104"/>
      <c r="BV101" s="104"/>
      <c r="BW101" s="104"/>
      <c r="BX101" s="104"/>
      <c r="BY101" s="104"/>
      <c r="BZ101" s="104"/>
      <c r="CA101" s="104"/>
      <c r="CB101" s="104"/>
      <c r="CC101" s="104"/>
      <c r="CD101" s="104"/>
      <c r="CE101" s="104"/>
      <c r="CF101" s="104"/>
      <c r="CG101" s="104"/>
      <c r="CH101" s="104"/>
      <c r="CI101" s="104"/>
      <c r="CJ101" s="104"/>
      <c r="CK101" s="104"/>
      <c r="CL101" s="104"/>
      <c r="CM101" s="104"/>
      <c r="CN101" s="104"/>
      <c r="CO101" s="104"/>
      <c r="CP101" s="104"/>
      <c r="CQ101" s="104"/>
      <c r="CR101" s="104"/>
      <c r="CS101" s="104"/>
      <c r="CT101" s="104"/>
      <c r="CU101" s="104"/>
      <c r="CV101" s="104"/>
      <c r="CW101" s="104"/>
      <c r="CX101" s="104"/>
      <c r="CY101" s="104"/>
      <c r="CZ101" s="104"/>
      <c r="DA101" s="104"/>
      <c r="DB101" s="104"/>
      <c r="DC101" s="104"/>
      <c r="DD101" s="104"/>
      <c r="DE101" s="104"/>
      <c r="DF101" s="104"/>
    </row>
  </sheetData>
  <autoFilter ref="A5:AC91" xr:uid="{ADCDC58A-DA58-4DC5-BD57-A70974A5D907}">
    <filterColumn colId="2">
      <filters>
        <filter val="Domestic Hot Water - Electric Water Heater"/>
        <filter val="Domestic Hot Water - Heat Pump and Electric Resistance Water Heaters"/>
      </filters>
    </filterColumn>
    <sortState xmlns:xlrd2="http://schemas.microsoft.com/office/spreadsheetml/2017/richdata2" ref="A6:AC91">
      <sortCondition ref="C5:C91"/>
    </sortState>
  </autoFilter>
  <conditionalFormatting sqref="L40:M45">
    <cfRule type="containsBlanks" dxfId="3" priority="3">
      <formula>LEN(TRIM(L40))=0</formula>
    </cfRule>
  </conditionalFormatting>
  <conditionalFormatting sqref="R40:S45">
    <cfRule type="containsBlanks" dxfId="2" priority="1">
      <formula>LEN(TRIM(R40))=0</formula>
    </cfRule>
  </conditionalFormatting>
  <conditionalFormatting sqref="Y7:AA7 Y8:Z9 AA8:AA91 S10:Z39 T40:Z45 R46:Z91 S7:X9 R7:R39 N7:Q45 E7:K91 P46:Q51 P57:Q67 N68:Q91">
    <cfRule type="containsBlanks" dxfId="1" priority="5">
      <formula>LEN(TRIM(E7))=0</formula>
    </cfRule>
  </conditionalFormatting>
  <conditionalFormatting sqref="Z7:AA91">
    <cfRule type="cellIs" dxfId="0" priority="4" operator="notBetween">
      <formula>$E7</formula>
      <formula>$F7</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bc1de23-0261-4110-b9bd-b57ce927ae08" xsi:nil="true"/>
    <lcf76f155ced4ddcb4097134ff3c332f xmlns="e5a56c6d-2097-42a9-9d37-cbdfd7c7092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46F0ABF3B47BF44AD9F499D24D101E0" ma:contentTypeVersion="11" ma:contentTypeDescription="Create a new document." ma:contentTypeScope="" ma:versionID="33eeb320dfd6f650d2ebf34a432598cb">
  <xsd:schema xmlns:xsd="http://www.w3.org/2001/XMLSchema" xmlns:xs="http://www.w3.org/2001/XMLSchema" xmlns:p="http://schemas.microsoft.com/office/2006/metadata/properties" xmlns:ns2="e5a56c6d-2097-42a9-9d37-cbdfd7c7092f" xmlns:ns3="4bc1de23-0261-4110-b9bd-b57ce927ae08" targetNamespace="http://schemas.microsoft.com/office/2006/metadata/properties" ma:root="true" ma:fieldsID="f4d3ab8b4781487f8847e4490751098b" ns2:_="" ns3:_="">
    <xsd:import namespace="e5a56c6d-2097-42a9-9d37-cbdfd7c7092f"/>
    <xsd:import namespace="4bc1de23-0261-4110-b9bd-b57ce927ae08"/>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a56c6d-2097-42a9-9d37-cbdfd7c7092f"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5f907feb-2135-424b-9e5e-2a3ef7dbb37b"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bc1de23-0261-4110-b9bd-b57ce927ae08"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2b559b83-6798-4037-86d5-a94592fef823}" ma:internalName="TaxCatchAll" ma:showField="CatchAllData" ma:web="4bc1de23-0261-4110-b9bd-b57ce927ae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C13B19-029D-481E-88AC-3FB32EBD1BDB}">
  <ds:schemaRefs>
    <ds:schemaRef ds:uri="http://purl.org/dc/terms/"/>
    <ds:schemaRef ds:uri="611185b7-4576-4f04-be5e-746ee35f5173"/>
    <ds:schemaRef ds:uri="http://schemas.openxmlformats.org/package/2006/metadata/core-properties"/>
    <ds:schemaRef ds:uri="http://purl.org/dc/dcmitype/"/>
    <ds:schemaRef ds:uri="4bc1de23-0261-4110-b9bd-b57ce927ae08"/>
    <ds:schemaRef ds:uri="http://schemas.microsoft.com/office/2006/documentManagement/types"/>
    <ds:schemaRef ds:uri="http://schemas.microsoft.com/office/infopath/2007/PartnerControls"/>
    <ds:schemaRef ds:uri="http://purl.org/dc/elements/1.1/"/>
    <ds:schemaRef ds:uri="http://schemas.microsoft.com/sharepoint/v3"/>
    <ds:schemaRef ds:uri="http://schemas.microsoft.com/office/2006/metadata/properties"/>
    <ds:schemaRef ds:uri="http://www.w3.org/XML/1998/namespace"/>
    <ds:schemaRef ds:uri="e5a56c6d-2097-42a9-9d37-cbdfd7c7092f"/>
  </ds:schemaRefs>
</ds:datastoreItem>
</file>

<file path=customXml/itemProps2.xml><?xml version="1.0" encoding="utf-8"?>
<ds:datastoreItem xmlns:ds="http://schemas.openxmlformats.org/officeDocument/2006/customXml" ds:itemID="{62DCEE3E-BE21-44A7-9E50-62A815C30C6F}">
  <ds:schemaRefs>
    <ds:schemaRef ds:uri="http://schemas.microsoft.com/sharepoint/v3/contenttype/forms"/>
  </ds:schemaRefs>
</ds:datastoreItem>
</file>

<file path=customXml/itemProps3.xml><?xml version="1.0" encoding="utf-8"?>
<ds:datastoreItem xmlns:ds="http://schemas.openxmlformats.org/officeDocument/2006/customXml" ds:itemID="{19E85FF0-1087-4532-A58E-1026566408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a56c6d-2097-42a9-9d37-cbdfd7c7092f"/>
    <ds:schemaRef ds:uri="4bc1de23-0261-4110-b9bd-b57ce927ae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82fa3fd3-029b-403d-91b4-1dc930cb0e60}" enabled="1" method="Standard" siteId="{4ae48b41-0137-4599-8661-fc641fe77be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vt:lpstr>
      <vt:lpstr>Life Cycle Cost Analysis</vt:lpstr>
      <vt:lpstr>Backend &gt;</vt:lpstr>
      <vt:lpstr>Tool Calc Sheet</vt:lpstr>
      <vt:lpstr>Existing Building EUI</vt:lpstr>
      <vt:lpstr>Drop Down Database</vt:lpstr>
      <vt:lpstr>Retrofit Data</vt:lpstr>
      <vt:lpstr>Retrofit Data - 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Kasia Boyd</dc:creator>
  <cp:keywords/>
  <dc:description/>
  <cp:lastModifiedBy>Sacha Klein</cp:lastModifiedBy>
  <cp:revision/>
  <dcterms:created xsi:type="dcterms:W3CDTF">2015-06-05T18:17:20Z</dcterms:created>
  <dcterms:modified xsi:type="dcterms:W3CDTF">2025-04-29T15:34:20Z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0x010100546F0ABF3B47BF44AD9F499D24D101E0</vt:lpwstr>
  </property>
  <property fmtid="{D5CDD505-2E9C-101B-9397-08002B2CF9AE}" pid="3" name="Arup_Tags">
    <vt:lpwstr/>
  </property>
  <property fmtid="{D5CDD505-2E9C-101B-9397-08002B2CF9AE}" pid="4" name="MediaServiceImageTags">
    <vt:lpwstr/>
  </property>
  <property fmtid="{D5CDD505-2E9C-101B-9397-08002B2CF9AE}" pid="5" name="CO_Topics">
    <vt:lpwstr/>
  </property>
  <property fmtid="{D5CDD505-2E9C-101B-9397-08002B2CF9AE}" pid="6" name="Arup_TypeOfContent">
    <vt:lpwstr/>
  </property>
  <property fmtid="{D5CDD505-2E9C-101B-9397-08002B2CF9AE}" pid="7" name="CO_Communities">
    <vt:lpwstr/>
  </property>
  <property fmtid="{D5CDD505-2E9C-101B-9397-08002B2CF9AE}" pid="8" name="Folder_Number">
    <vt:lpwstr/>
  </property>
  <property fmtid="{D5CDD505-2E9C-101B-9397-08002B2CF9AE}" pid="9" name="Folder_Code">
    <vt:lpwstr/>
  </property>
  <property fmtid="{D5CDD505-2E9C-101B-9397-08002B2CF9AE}" pid="10" name="Folder_Name">
    <vt:lpwstr/>
  </property>
  <property fmtid="{D5CDD505-2E9C-101B-9397-08002B2CF9AE}" pid="11" name="Folder_Description">
    <vt:lpwstr/>
  </property>
  <property fmtid="{D5CDD505-2E9C-101B-9397-08002B2CF9AE}" pid="12" name="/Folder_Name/">
    <vt:lpwstr/>
  </property>
  <property fmtid="{D5CDD505-2E9C-101B-9397-08002B2CF9AE}" pid="13" name="/Folder_Description/">
    <vt:lpwstr/>
  </property>
  <property fmtid="{D5CDD505-2E9C-101B-9397-08002B2CF9AE}" pid="14" name="Folder_Version">
    <vt:lpwstr/>
  </property>
  <property fmtid="{D5CDD505-2E9C-101B-9397-08002B2CF9AE}" pid="15" name="Folder_VersionSeq">
    <vt:lpwstr/>
  </property>
  <property fmtid="{D5CDD505-2E9C-101B-9397-08002B2CF9AE}" pid="16" name="Folder_Manager">
    <vt:lpwstr/>
  </property>
  <property fmtid="{D5CDD505-2E9C-101B-9397-08002B2CF9AE}" pid="17" name="Folder_ManagerDesc">
    <vt:lpwstr/>
  </property>
  <property fmtid="{D5CDD505-2E9C-101B-9397-08002B2CF9AE}" pid="18" name="Folder_Storage">
    <vt:lpwstr/>
  </property>
  <property fmtid="{D5CDD505-2E9C-101B-9397-08002B2CF9AE}" pid="19" name="Folder_StorageDesc">
    <vt:lpwstr/>
  </property>
  <property fmtid="{D5CDD505-2E9C-101B-9397-08002B2CF9AE}" pid="20" name="Folder_Creator">
    <vt:lpwstr/>
  </property>
  <property fmtid="{D5CDD505-2E9C-101B-9397-08002B2CF9AE}" pid="21" name="Folder_CreatorDesc">
    <vt:lpwstr/>
  </property>
  <property fmtid="{D5CDD505-2E9C-101B-9397-08002B2CF9AE}" pid="22" name="Folder_CreateDate">
    <vt:lpwstr/>
  </property>
  <property fmtid="{D5CDD505-2E9C-101B-9397-08002B2CF9AE}" pid="23" name="Folder_Updater">
    <vt:lpwstr/>
  </property>
  <property fmtid="{D5CDD505-2E9C-101B-9397-08002B2CF9AE}" pid="24" name="Folder_UpdaterDesc">
    <vt:lpwstr/>
  </property>
  <property fmtid="{D5CDD505-2E9C-101B-9397-08002B2CF9AE}" pid="25" name="Folder_UpdateDate">
    <vt:lpwstr/>
  </property>
  <property fmtid="{D5CDD505-2E9C-101B-9397-08002B2CF9AE}" pid="26" name="Document_Number">
    <vt:lpwstr/>
  </property>
  <property fmtid="{D5CDD505-2E9C-101B-9397-08002B2CF9AE}" pid="27" name="Document_Name">
    <vt:lpwstr/>
  </property>
  <property fmtid="{D5CDD505-2E9C-101B-9397-08002B2CF9AE}" pid="28" name="Document_FileName">
    <vt:lpwstr/>
  </property>
  <property fmtid="{D5CDD505-2E9C-101B-9397-08002B2CF9AE}" pid="29" name="Document_Version">
    <vt:lpwstr/>
  </property>
  <property fmtid="{D5CDD505-2E9C-101B-9397-08002B2CF9AE}" pid="30" name="Document_VersionSeq">
    <vt:lpwstr/>
  </property>
  <property fmtid="{D5CDD505-2E9C-101B-9397-08002B2CF9AE}" pid="31" name="Document_Creator">
    <vt:lpwstr/>
  </property>
  <property fmtid="{D5CDD505-2E9C-101B-9397-08002B2CF9AE}" pid="32" name="Document_CreatorDesc">
    <vt:lpwstr/>
  </property>
  <property fmtid="{D5CDD505-2E9C-101B-9397-08002B2CF9AE}" pid="33" name="Document_CreateDate">
    <vt:lpwstr/>
  </property>
  <property fmtid="{D5CDD505-2E9C-101B-9397-08002B2CF9AE}" pid="34" name="Document_Updater">
    <vt:lpwstr/>
  </property>
  <property fmtid="{D5CDD505-2E9C-101B-9397-08002B2CF9AE}" pid="35" name="Document_UpdaterDesc">
    <vt:lpwstr/>
  </property>
  <property fmtid="{D5CDD505-2E9C-101B-9397-08002B2CF9AE}" pid="36" name="Document_UpdateDate">
    <vt:lpwstr/>
  </property>
  <property fmtid="{D5CDD505-2E9C-101B-9397-08002B2CF9AE}" pid="37" name="Document_Size">
    <vt:lpwstr/>
  </property>
  <property fmtid="{D5CDD505-2E9C-101B-9397-08002B2CF9AE}" pid="38" name="Document_Storage">
    <vt:lpwstr/>
  </property>
  <property fmtid="{D5CDD505-2E9C-101B-9397-08002B2CF9AE}" pid="39" name="Document_StorageDesc">
    <vt:lpwstr/>
  </property>
  <property fmtid="{D5CDD505-2E9C-101B-9397-08002B2CF9AE}" pid="40" name="Document_Department">
    <vt:lpwstr/>
  </property>
  <property fmtid="{D5CDD505-2E9C-101B-9397-08002B2CF9AE}" pid="41" name="Document_DepartmentDesc">
    <vt:lpwstr/>
  </property>
</Properties>
</file>