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G:\EED\EEO\1 EI ExB\Net Zero Building Retrofit Guidance Material\0 - Final Deliverable\4 - Tools\"/>
    </mc:Choice>
  </mc:AlternateContent>
  <xr:revisionPtr revIDLastSave="0" documentId="13_ncr:1_{A24EF850-D281-468C-B47D-7D66FA9CE750}" xr6:coauthVersionLast="47" xr6:coauthVersionMax="47" xr10:uidLastSave="{00000000-0000-0000-0000-000000000000}"/>
  <workbookProtection workbookAlgorithmName="SHA-512" workbookHashValue="YmwcPoplMY78ffyX8nLzn0C5YK0Ml/+2QmP8zWLD55VcY/i4zxEP3H/CNpV+x1N9rsxRmR/aoMKPAMgLWuTAhA==" workbookSaltValue="vWroCsC5hlzaoCKzbjufdQ==" workbookSpinCount="100000" lockStructure="1"/>
  <bookViews>
    <workbookView xWindow="-120" yWindow="-120" windowWidth="29040" windowHeight="15720" tabRatio="869" activeTab="1" xr2:uid="{00000000-000D-0000-FFFF-FFFF00000000}"/>
  </bookViews>
  <sheets>
    <sheet name="Cover" sheetId="18" r:id="rId1"/>
    <sheet name="Fuel Switching Options" sheetId="2" r:id="rId2"/>
    <sheet name="Backend &gt;" sheetId="3" state="hidden" r:id="rId3"/>
    <sheet name="Tool Calc Sheet" sheetId="5" state="hidden" r:id="rId4"/>
    <sheet name="Drop Down Database" sheetId="22" state="hidden" r:id="rId5"/>
    <sheet name="Heating System Database" sheetId="25" state="hidden" r:id="rId6"/>
    <sheet name="Existing Building EUI" sheetId="21" state="hidden" r:id="rId7"/>
    <sheet name="Retrofit Data" sheetId="24" state="hidden" r:id="rId8"/>
    <sheet name="Retrofit Data - DES" sheetId="26" state="hidden" r:id="rId9"/>
    <sheet name="Retrofit Saving Database" sheetId="13" state="hidden" r:id="rId10"/>
    <sheet name="References" sheetId="12" state="hidden" r:id="rId11"/>
  </sheets>
  <definedNames>
    <definedName name="_xlnm._FilterDatabase" localSheetId="7" hidden="1">'Retrofit Data'!$A$5:$AE$43</definedName>
    <definedName name="_xlnm._FilterDatabase" localSheetId="8" hidden="1">'Retrofit Data - DES'!$A$5:$AE$43</definedName>
    <definedName name="_xlnm._FilterDatabase" localSheetId="9" hidden="1">'Retrofit Saving Database'!$C$2:$U$45</definedName>
    <definedName name="DHW_Electric_Large">'Heating System Database'!$F$4</definedName>
    <definedName name="DHW_Electric_Small">'Heating System Database'!$E$4</definedName>
    <definedName name="DHW_HeatPump_Large">'Heating System Database'!$F$5</definedName>
    <definedName name="DHW_HeatPump_Small">'Heating System Database'!$E$5</definedName>
    <definedName name="Empty">'Heating System Database'!$E$11</definedName>
    <definedName name="Gas_Appliances_Large">'Heating System Database'!$F$6</definedName>
    <definedName name="Gas_Appliances_Small">'Heating System Database'!$E$6</definedName>
    <definedName name="Gas_Ranges_Large">'Heating System Database'!$F$7</definedName>
    <definedName name="Gas_Ranges_Small">'Heating System Database'!$E$7</definedName>
    <definedName name="Heating_ASHP_Large">'Heating System Database'!$F$8</definedName>
    <definedName name="Heating_ASHP_Small">'Heating System Database'!$E$8</definedName>
    <definedName name="Heating_District_Large">'Heating System Database'!$F$9</definedName>
    <definedName name="Heating_District_Small">'Heating System Database'!$E$9</definedName>
    <definedName name="Heating_GSHP_Large">'Heating System Database'!$F$10</definedName>
    <definedName name="Heating_GSHP_Small">'Heating System Database'!$E$10</definedName>
    <definedName name="_xlnm.Print_Area" localSheetId="1">'Fuel Switching Options'!$A$1:$V$64</definedName>
    <definedName name="SelectedImage1">INDIRECT('Tool Calc Sheet'!$D$75)</definedName>
    <definedName name="SelectedImage2">INDIRECT('Tool Calc Sheet'!$D$97)</definedName>
    <definedName name="SelectedImage3">INDIRECT('Tool Calc Sheet'!$D$119)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2" l="1"/>
  <c r="G60" i="2" l="1"/>
  <c r="V16" i="26"/>
  <c r="W15" i="26"/>
  <c r="V15" i="26"/>
  <c r="W14" i="26"/>
  <c r="V14" i="26"/>
  <c r="W10" i="26"/>
  <c r="V10" i="26"/>
  <c r="W8" i="26"/>
  <c r="V8" i="26"/>
  <c r="W13" i="26"/>
  <c r="V13" i="26"/>
  <c r="W12" i="26"/>
  <c r="V12" i="26"/>
  <c r="W11" i="26"/>
  <c r="V11" i="26"/>
  <c r="W9" i="26"/>
  <c r="V9" i="26"/>
  <c r="W7" i="26"/>
  <c r="V7" i="26"/>
  <c r="W6" i="26"/>
  <c r="V6" i="26"/>
  <c r="V26" i="26"/>
  <c r="W43" i="26"/>
  <c r="V43" i="26"/>
  <c r="W41" i="26"/>
  <c r="V41" i="26"/>
  <c r="W39" i="26"/>
  <c r="V39" i="26"/>
  <c r="W36" i="26"/>
  <c r="V36" i="26"/>
  <c r="W33" i="26"/>
  <c r="V33" i="26"/>
  <c r="W27" i="26"/>
  <c r="V27" i="26"/>
  <c r="W24" i="26"/>
  <c r="V24" i="26"/>
  <c r="W42" i="26"/>
  <c r="V42" i="26"/>
  <c r="W40" i="26"/>
  <c r="V40" i="26"/>
  <c r="W38" i="26"/>
  <c r="V38" i="26"/>
  <c r="W35" i="26"/>
  <c r="V35" i="26"/>
  <c r="W32" i="26"/>
  <c r="V32" i="26"/>
  <c r="W30" i="26"/>
  <c r="V30" i="26"/>
  <c r="W29" i="26"/>
  <c r="V29" i="26"/>
  <c r="W28" i="26"/>
  <c r="V28" i="26"/>
  <c r="W26" i="26"/>
  <c r="W23" i="26"/>
  <c r="V23" i="26"/>
  <c r="V21" i="26"/>
  <c r="W21" i="26"/>
  <c r="W20" i="26"/>
  <c r="V20" i="26"/>
  <c r="W19" i="26"/>
  <c r="V19" i="26"/>
  <c r="W18" i="26"/>
  <c r="V18" i="26"/>
  <c r="W17" i="26"/>
  <c r="V17" i="26"/>
  <c r="W16" i="26"/>
  <c r="O21" i="26"/>
  <c r="N21" i="26"/>
  <c r="AC21" i="26" s="1"/>
  <c r="M21" i="26"/>
  <c r="D21" i="26"/>
  <c r="C21" i="26"/>
  <c r="O43" i="26"/>
  <c r="N43" i="26"/>
  <c r="AB43" i="26" s="1"/>
  <c r="M43" i="26"/>
  <c r="D43" i="26"/>
  <c r="C43" i="26"/>
  <c r="O42" i="26"/>
  <c r="N42" i="26"/>
  <c r="Y42" i="26" s="1"/>
  <c r="M42" i="26"/>
  <c r="D42" i="26"/>
  <c r="C42" i="26"/>
  <c r="O15" i="26"/>
  <c r="N15" i="26"/>
  <c r="Y15" i="26" s="1"/>
  <c r="M15" i="26"/>
  <c r="D15" i="26"/>
  <c r="C15" i="26"/>
  <c r="O20" i="26"/>
  <c r="N20" i="26"/>
  <c r="Y20" i="26" s="1"/>
  <c r="M20" i="26"/>
  <c r="D20" i="26"/>
  <c r="C20" i="26"/>
  <c r="O41" i="26"/>
  <c r="N41" i="26"/>
  <c r="AB41" i="26" s="1"/>
  <c r="M41" i="26"/>
  <c r="D41" i="26"/>
  <c r="C41" i="26"/>
  <c r="O40" i="26"/>
  <c r="N40" i="26"/>
  <c r="AB40" i="26" s="1"/>
  <c r="M40" i="26"/>
  <c r="D40" i="26"/>
  <c r="C40" i="26"/>
  <c r="O14" i="26"/>
  <c r="N14" i="26"/>
  <c r="AB14" i="26" s="1"/>
  <c r="M14" i="26"/>
  <c r="D14" i="26"/>
  <c r="C14" i="26"/>
  <c r="O19" i="26"/>
  <c r="N19" i="26"/>
  <c r="AC19" i="26" s="1"/>
  <c r="M19" i="26"/>
  <c r="D19" i="26"/>
  <c r="C19" i="26"/>
  <c r="O39" i="26"/>
  <c r="N39" i="26"/>
  <c r="AB39" i="26" s="1"/>
  <c r="M39" i="26"/>
  <c r="D39" i="26"/>
  <c r="C39" i="26"/>
  <c r="O38" i="26"/>
  <c r="N38" i="26"/>
  <c r="AB38" i="26" s="1"/>
  <c r="M38" i="26"/>
  <c r="D38" i="26"/>
  <c r="C38" i="26"/>
  <c r="O37" i="26"/>
  <c r="N37" i="26"/>
  <c r="M37" i="26"/>
  <c r="D37" i="26"/>
  <c r="C37" i="26"/>
  <c r="O13" i="26"/>
  <c r="N13" i="26"/>
  <c r="AC13" i="26" s="1"/>
  <c r="M13" i="26"/>
  <c r="D13" i="26"/>
  <c r="C13" i="26"/>
  <c r="O18" i="26"/>
  <c r="N18" i="26"/>
  <c r="AC18" i="26" s="1"/>
  <c r="M18" i="26"/>
  <c r="D18" i="26"/>
  <c r="C18" i="26"/>
  <c r="O36" i="26"/>
  <c r="N36" i="26"/>
  <c r="AB36" i="26" s="1"/>
  <c r="M36" i="26"/>
  <c r="D36" i="26"/>
  <c r="C36" i="26"/>
  <c r="O35" i="26"/>
  <c r="N35" i="26"/>
  <c r="AC35" i="26" s="1"/>
  <c r="M35" i="26"/>
  <c r="D35" i="26"/>
  <c r="C35" i="26"/>
  <c r="O34" i="26"/>
  <c r="N34" i="26"/>
  <c r="Y34" i="26" s="1"/>
  <c r="M34" i="26"/>
  <c r="D34" i="26"/>
  <c r="C34" i="26"/>
  <c r="O12" i="26"/>
  <c r="N12" i="26"/>
  <c r="Y12" i="26" s="1"/>
  <c r="M12" i="26"/>
  <c r="D12" i="26"/>
  <c r="C12" i="26"/>
  <c r="O17" i="26"/>
  <c r="N17" i="26"/>
  <c r="X17" i="26" s="1"/>
  <c r="M17" i="26"/>
  <c r="D17" i="26"/>
  <c r="C17" i="26"/>
  <c r="O33" i="26"/>
  <c r="N33" i="26"/>
  <c r="AB33" i="26" s="1"/>
  <c r="M33" i="26"/>
  <c r="D33" i="26"/>
  <c r="C33" i="26"/>
  <c r="O32" i="26"/>
  <c r="N32" i="26"/>
  <c r="AC32" i="26" s="1"/>
  <c r="M32" i="26"/>
  <c r="D32" i="26"/>
  <c r="C32" i="26"/>
  <c r="O31" i="26"/>
  <c r="N31" i="26"/>
  <c r="M31" i="26"/>
  <c r="D31" i="26"/>
  <c r="C31" i="26"/>
  <c r="O11" i="26"/>
  <c r="N11" i="26"/>
  <c r="AB11" i="26" s="1"/>
  <c r="M11" i="26"/>
  <c r="D11" i="26"/>
  <c r="C11" i="26"/>
  <c r="O30" i="26"/>
  <c r="N30" i="26"/>
  <c r="AB30" i="26" s="1"/>
  <c r="M30" i="26"/>
  <c r="D30" i="26"/>
  <c r="C30" i="26"/>
  <c r="O10" i="26"/>
  <c r="N10" i="26"/>
  <c r="AB10" i="26" s="1"/>
  <c r="M10" i="26"/>
  <c r="D10" i="26"/>
  <c r="C10" i="26"/>
  <c r="O29" i="26"/>
  <c r="N29" i="26"/>
  <c r="AC29" i="26" s="1"/>
  <c r="M29" i="26"/>
  <c r="D29" i="26"/>
  <c r="C29" i="26"/>
  <c r="O9" i="26"/>
  <c r="N9" i="26"/>
  <c r="AC9" i="26" s="1"/>
  <c r="M9" i="26"/>
  <c r="D9" i="26"/>
  <c r="C9" i="26"/>
  <c r="O28" i="26"/>
  <c r="N28" i="26"/>
  <c r="AB28" i="26" s="1"/>
  <c r="M28" i="26"/>
  <c r="D28" i="26"/>
  <c r="C28" i="26"/>
  <c r="O8" i="26"/>
  <c r="N8" i="26"/>
  <c r="AB8" i="26" s="1"/>
  <c r="M8" i="26"/>
  <c r="D8" i="26"/>
  <c r="C8" i="26"/>
  <c r="O16" i="26"/>
  <c r="N16" i="26"/>
  <c r="AC16" i="26" s="1"/>
  <c r="M16" i="26"/>
  <c r="D16" i="26"/>
  <c r="C16" i="26"/>
  <c r="O27" i="26"/>
  <c r="N27" i="26"/>
  <c r="X27" i="26" s="1"/>
  <c r="M27" i="26"/>
  <c r="D27" i="26"/>
  <c r="C27" i="26"/>
  <c r="O26" i="26"/>
  <c r="N26" i="26"/>
  <c r="AB26" i="26" s="1"/>
  <c r="M26" i="26"/>
  <c r="D26" i="26"/>
  <c r="C26" i="26"/>
  <c r="O25" i="26"/>
  <c r="N25" i="26"/>
  <c r="X25" i="26" s="1"/>
  <c r="M25" i="26"/>
  <c r="D25" i="26"/>
  <c r="C25" i="26"/>
  <c r="O7" i="26"/>
  <c r="N7" i="26"/>
  <c r="X7" i="26" s="1"/>
  <c r="M7" i="26"/>
  <c r="D7" i="26"/>
  <c r="C7" i="26"/>
  <c r="O24" i="26"/>
  <c r="N24" i="26"/>
  <c r="X24" i="26" s="1"/>
  <c r="M24" i="26"/>
  <c r="D24" i="26"/>
  <c r="C24" i="26"/>
  <c r="O23" i="26"/>
  <c r="N23" i="26"/>
  <c r="X23" i="26" s="1"/>
  <c r="M23" i="26"/>
  <c r="D23" i="26"/>
  <c r="C23" i="26"/>
  <c r="O22" i="26"/>
  <c r="N22" i="26"/>
  <c r="X22" i="26" s="1"/>
  <c r="M22" i="26"/>
  <c r="D22" i="26"/>
  <c r="C22" i="26"/>
  <c r="O6" i="26"/>
  <c r="N6" i="26"/>
  <c r="X6" i="26" s="1"/>
  <c r="M6" i="26"/>
  <c r="D6" i="26"/>
  <c r="C6" i="26"/>
  <c r="B4" i="26" a="1"/>
  <c r="B4" i="26" s="1"/>
  <c r="D29" i="5"/>
  <c r="U32" i="24"/>
  <c r="T32" i="24"/>
  <c r="U27" i="24"/>
  <c r="T27" i="24"/>
  <c r="U22" i="24"/>
  <c r="T22" i="24"/>
  <c r="U11" i="24"/>
  <c r="T11" i="24"/>
  <c r="U7" i="24"/>
  <c r="T7" i="24"/>
  <c r="D16" i="5"/>
  <c r="D17" i="5" s="1"/>
  <c r="B3" i="22" a="1"/>
  <c r="B3" i="22" s="1"/>
  <c r="D22" i="5"/>
  <c r="D24" i="5"/>
  <c r="D47" i="5"/>
  <c r="D48" i="5" s="1"/>
  <c r="V42" i="24"/>
  <c r="V38" i="24"/>
  <c r="V34" i="24"/>
  <c r="V29" i="24"/>
  <c r="V24" i="24"/>
  <c r="V13" i="24"/>
  <c r="W42" i="24"/>
  <c r="W38" i="24"/>
  <c r="W34" i="24"/>
  <c r="W29" i="24"/>
  <c r="W24" i="24"/>
  <c r="W13" i="24"/>
  <c r="W9" i="24"/>
  <c r="V9" i="24"/>
  <c r="D23" i="5" l="1"/>
  <c r="Z28" i="26"/>
  <c r="AA21" i="26"/>
  <c r="B22" i="26"/>
  <c r="AA25" i="26"/>
  <c r="AA34" i="26"/>
  <c r="Z19" i="26"/>
  <c r="AC26" i="26"/>
  <c r="AC31" i="26"/>
  <c r="X35" i="26"/>
  <c r="AC8" i="26"/>
  <c r="X30" i="26"/>
  <c r="Y32" i="26"/>
  <c r="AC28" i="26"/>
  <c r="AA32" i="26"/>
  <c r="X40" i="26"/>
  <c r="AA24" i="26"/>
  <c r="AC34" i="26"/>
  <c r="X38" i="26"/>
  <c r="AC40" i="26"/>
  <c r="AA40" i="26"/>
  <c r="Z26" i="26"/>
  <c r="Z35" i="26"/>
  <c r="AA22" i="26"/>
  <c r="AB22" i="26"/>
  <c r="Y41" i="26"/>
  <c r="AC22" i="26"/>
  <c r="B7" i="26"/>
  <c r="X26" i="26"/>
  <c r="AA14" i="26"/>
  <c r="Y25" i="26"/>
  <c r="Y22" i="26"/>
  <c r="Y26" i="26"/>
  <c r="Z25" i="26"/>
  <c r="AC38" i="26"/>
  <c r="Y40" i="26"/>
  <c r="Z41" i="26"/>
  <c r="B31" i="26"/>
  <c r="B32" i="26"/>
  <c r="AA23" i="26"/>
  <c r="AA27" i="26"/>
  <c r="AA12" i="26"/>
  <c r="AA42" i="26"/>
  <c r="Z24" i="26"/>
  <c r="Y9" i="26"/>
  <c r="Y29" i="26"/>
  <c r="X33" i="26"/>
  <c r="AA17" i="26"/>
  <c r="AA36" i="26"/>
  <c r="X19" i="26"/>
  <c r="Z14" i="26"/>
  <c r="AA15" i="26"/>
  <c r="B13" i="26"/>
  <c r="AA10" i="26"/>
  <c r="B43" i="26"/>
  <c r="AC6" i="26"/>
  <c r="Z7" i="26"/>
  <c r="B9" i="26"/>
  <c r="B29" i="26"/>
  <c r="AA30" i="26"/>
  <c r="AA31" i="26"/>
  <c r="Y33" i="26"/>
  <c r="AC37" i="26"/>
  <c r="B39" i="26"/>
  <c r="B19" i="26"/>
  <c r="Y19" i="26"/>
  <c r="X41" i="26"/>
  <c r="AA20" i="26"/>
  <c r="B37" i="26"/>
  <c r="Y23" i="26"/>
  <c r="Y24" i="26"/>
  <c r="AB25" i="26"/>
  <c r="X16" i="26"/>
  <c r="AA8" i="26"/>
  <c r="B10" i="26"/>
  <c r="X10" i="26"/>
  <c r="AC33" i="26"/>
  <c r="B34" i="26"/>
  <c r="AA35" i="26"/>
  <c r="AA18" i="26"/>
  <c r="AA13" i="26"/>
  <c r="AA37" i="26"/>
  <c r="AA19" i="26"/>
  <c r="X14" i="26"/>
  <c r="X43" i="26"/>
  <c r="B18" i="26"/>
  <c r="B21" i="26"/>
  <c r="Z16" i="26"/>
  <c r="Z43" i="26"/>
  <c r="Y6" i="26"/>
  <c r="B23" i="26"/>
  <c r="B24" i="26"/>
  <c r="Y7" i="26"/>
  <c r="AC25" i="26"/>
  <c r="B27" i="26"/>
  <c r="Y16" i="26"/>
  <c r="AA28" i="26"/>
  <c r="AC10" i="26"/>
  <c r="Z32" i="26"/>
  <c r="B12" i="26"/>
  <c r="Z36" i="26"/>
  <c r="AB37" i="26"/>
  <c r="AA38" i="26"/>
  <c r="B14" i="26"/>
  <c r="Y14" i="26"/>
  <c r="Z40" i="26"/>
  <c r="AC41" i="26"/>
  <c r="B42" i="26"/>
  <c r="AA43" i="26"/>
  <c r="B11" i="26"/>
  <c r="AA16" i="26"/>
  <c r="B30" i="26"/>
  <c r="B17" i="26"/>
  <c r="B36" i="26"/>
  <c r="AC36" i="26"/>
  <c r="B15" i="26"/>
  <c r="AC43" i="26"/>
  <c r="B40" i="26"/>
  <c r="AA7" i="26"/>
  <c r="Z6" i="26"/>
  <c r="B25" i="26"/>
  <c r="Z8" i="26"/>
  <c r="AA9" i="26"/>
  <c r="AA29" i="26"/>
  <c r="AC30" i="26"/>
  <c r="X32" i="26"/>
  <c r="AA33" i="26"/>
  <c r="Y18" i="26"/>
  <c r="AE18" i="26" s="1"/>
  <c r="Y13" i="26"/>
  <c r="AE13" i="26" s="1"/>
  <c r="Y37" i="26"/>
  <c r="AC14" i="26"/>
  <c r="B20" i="26"/>
  <c r="Z21" i="26"/>
  <c r="AA6" i="26"/>
  <c r="Y27" i="26"/>
  <c r="B16" i="26"/>
  <c r="AB31" i="26"/>
  <c r="Z33" i="26"/>
  <c r="Y17" i="26"/>
  <c r="B35" i="26"/>
  <c r="AB6" i="26"/>
  <c r="AB23" i="26"/>
  <c r="AB24" i="26"/>
  <c r="AB7" i="26"/>
  <c r="AA26" i="26"/>
  <c r="Z27" i="26"/>
  <c r="B8" i="26"/>
  <c r="X8" i="26"/>
  <c r="B28" i="26"/>
  <c r="X28" i="26"/>
  <c r="AC11" i="26"/>
  <c r="AB32" i="26"/>
  <c r="Z17" i="26"/>
  <c r="Z12" i="26"/>
  <c r="Z34" i="26"/>
  <c r="Y35" i="26"/>
  <c r="X36" i="26"/>
  <c r="AC39" i="26"/>
  <c r="AB19" i="26"/>
  <c r="AA41" i="26"/>
  <c r="Z20" i="26"/>
  <c r="Z15" i="26"/>
  <c r="Z42" i="26"/>
  <c r="Y43" i="26"/>
  <c r="X21" i="26"/>
  <c r="AC23" i="26"/>
  <c r="AC24" i="26"/>
  <c r="AC7" i="26"/>
  <c r="Y8" i="26"/>
  <c r="Y28" i="26"/>
  <c r="X9" i="26"/>
  <c r="X29" i="26"/>
  <c r="Y36" i="26"/>
  <c r="X18" i="26"/>
  <c r="X13" i="26"/>
  <c r="X37" i="26"/>
  <c r="Y21" i="26"/>
  <c r="AB17" i="26"/>
  <c r="AB12" i="26"/>
  <c r="AB34" i="26"/>
  <c r="B38" i="26"/>
  <c r="AB20" i="26"/>
  <c r="AC27" i="26"/>
  <c r="AB16" i="26"/>
  <c r="Z9" i="26"/>
  <c r="Z29" i="26"/>
  <c r="Y10" i="26"/>
  <c r="Y30" i="26"/>
  <c r="X11" i="26"/>
  <c r="X31" i="26"/>
  <c r="AC17" i="26"/>
  <c r="AC12" i="26"/>
  <c r="AB35" i="26"/>
  <c r="Z18" i="26"/>
  <c r="Z13" i="26"/>
  <c r="Z37" i="26"/>
  <c r="Y38" i="26"/>
  <c r="X39" i="26"/>
  <c r="AC20" i="26"/>
  <c r="AC15" i="26"/>
  <c r="AC42" i="26"/>
  <c r="AB27" i="26"/>
  <c r="AB15" i="26"/>
  <c r="AB42" i="26"/>
  <c r="B6" i="26"/>
  <c r="Z10" i="26"/>
  <c r="Z30" i="26"/>
  <c r="Y11" i="26"/>
  <c r="Y31" i="26"/>
  <c r="Z38" i="26"/>
  <c r="Y39" i="26"/>
  <c r="AB21" i="26"/>
  <c r="B26" i="26"/>
  <c r="AB9" i="26"/>
  <c r="AB29" i="26"/>
  <c r="Z11" i="26"/>
  <c r="Z31" i="26"/>
  <c r="B33" i="26"/>
  <c r="AB18" i="26"/>
  <c r="AB13" i="26"/>
  <c r="Z39" i="26"/>
  <c r="B41" i="26"/>
  <c r="Z22" i="26"/>
  <c r="Z23" i="26"/>
  <c r="AA11" i="26"/>
  <c r="X12" i="26"/>
  <c r="X34" i="26"/>
  <c r="AA39" i="26"/>
  <c r="X20" i="26"/>
  <c r="X15" i="26"/>
  <c r="X42" i="26"/>
  <c r="D43" i="5"/>
  <c r="G58" i="2" s="1"/>
  <c r="D38" i="5"/>
  <c r="G56" i="2" s="1"/>
  <c r="D39" i="5"/>
  <c r="W31" i="24"/>
  <c r="V31" i="24"/>
  <c r="W26" i="24"/>
  <c r="V26" i="24"/>
  <c r="W21" i="24"/>
  <c r="V21" i="24"/>
  <c r="W17" i="24"/>
  <c r="V17" i="24"/>
  <c r="W10" i="24"/>
  <c r="V10" i="24"/>
  <c r="W40" i="24"/>
  <c r="V40" i="24"/>
  <c r="W36" i="24"/>
  <c r="V36" i="24"/>
  <c r="W19" i="24"/>
  <c r="V19" i="24"/>
  <c r="W43" i="24"/>
  <c r="W39" i="24"/>
  <c r="W35" i="24"/>
  <c r="W30" i="24"/>
  <c r="W25" i="24"/>
  <c r="V43" i="24"/>
  <c r="V39" i="24"/>
  <c r="V35" i="24"/>
  <c r="V30" i="24"/>
  <c r="V25" i="24"/>
  <c r="W20" i="24"/>
  <c r="V20" i="24"/>
  <c r="O20" i="24"/>
  <c r="N20" i="24"/>
  <c r="AC20" i="24" s="1"/>
  <c r="W41" i="24"/>
  <c r="W37" i="24"/>
  <c r="W33" i="24"/>
  <c r="W28" i="24"/>
  <c r="W23" i="24"/>
  <c r="W18" i="24"/>
  <c r="W16" i="24"/>
  <c r="W12" i="24"/>
  <c r="V41" i="24"/>
  <c r="V37" i="24"/>
  <c r="V33" i="24"/>
  <c r="V28" i="24"/>
  <c r="V23" i="24"/>
  <c r="V18" i="24"/>
  <c r="V16" i="24"/>
  <c r="V12" i="24"/>
  <c r="D25" i="5" l="1"/>
  <c r="G47" i="2"/>
  <c r="AE21" i="26"/>
  <c r="AD28" i="26"/>
  <c r="AD6" i="26"/>
  <c r="AD40" i="26"/>
  <c r="AE16" i="26"/>
  <c r="AD26" i="26"/>
  <c r="AE32" i="26"/>
  <c r="AE25" i="26"/>
  <c r="AD33" i="26"/>
  <c r="AD25" i="26"/>
  <c r="AE34" i="26"/>
  <c r="AE6" i="26"/>
  <c r="AE19" i="26"/>
  <c r="AD38" i="26"/>
  <c r="AE28" i="26"/>
  <c r="AD35" i="26"/>
  <c r="AE8" i="26"/>
  <c r="AE26" i="26"/>
  <c r="AD16" i="26"/>
  <c r="AD7" i="26"/>
  <c r="AD43" i="26"/>
  <c r="AD41" i="26"/>
  <c r="AE42" i="26"/>
  <c r="AD22" i="26"/>
  <c r="AD30" i="26"/>
  <c r="AD14" i="26"/>
  <c r="AE40" i="26"/>
  <c r="AE12" i="26"/>
  <c r="AE41" i="26"/>
  <c r="AE37" i="26"/>
  <c r="AE22" i="26"/>
  <c r="AD39" i="26"/>
  <c r="AD32" i="26"/>
  <c r="AD27" i="26"/>
  <c r="AE9" i="26"/>
  <c r="AD42" i="26"/>
  <c r="AE24" i="26"/>
  <c r="AD19" i="26"/>
  <c r="AE29" i="26"/>
  <c r="AD10" i="26"/>
  <c r="AE15" i="26"/>
  <c r="AE23" i="26"/>
  <c r="AD17" i="26"/>
  <c r="AD31" i="26"/>
  <c r="AE36" i="26"/>
  <c r="AE35" i="26"/>
  <c r="AD8" i="26"/>
  <c r="AD15" i="26"/>
  <c r="AD18" i="26"/>
  <c r="AE38" i="26"/>
  <c r="AD11" i="26"/>
  <c r="AE10" i="26"/>
  <c r="AE7" i="26"/>
  <c r="AD23" i="26"/>
  <c r="AE20" i="26"/>
  <c r="AD13" i="26"/>
  <c r="AD24" i="26"/>
  <c r="AE33" i="26"/>
  <c r="AD36" i="26"/>
  <c r="AE30" i="26"/>
  <c r="AE43" i="26"/>
  <c r="AD21" i="26"/>
  <c r="AE14" i="26"/>
  <c r="AE31" i="26"/>
  <c r="AD29" i="26"/>
  <c r="AE39" i="26"/>
  <c r="AD9" i="26"/>
  <c r="AE17" i="26"/>
  <c r="AE27" i="26"/>
  <c r="AD20" i="26"/>
  <c r="AD34" i="26"/>
  <c r="AD12" i="26"/>
  <c r="AE11" i="26"/>
  <c r="AD37" i="26"/>
  <c r="Z20" i="24"/>
  <c r="AA20" i="24"/>
  <c r="X20" i="24"/>
  <c r="Y20" i="24"/>
  <c r="AB20" i="24"/>
  <c r="AE20" i="24" l="1"/>
  <c r="AD20" i="24"/>
  <c r="C28" i="24" l="1"/>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6" i="24"/>
  <c r="B4" i="24" a="1"/>
  <c r="B4" i="24" s="1"/>
  <c r="C7" i="24"/>
  <c r="C8" i="24"/>
  <c r="C9" i="24"/>
  <c r="C10" i="24"/>
  <c r="C11" i="24"/>
  <c r="C12" i="24"/>
  <c r="C13" i="24"/>
  <c r="C14" i="24"/>
  <c r="C15" i="24"/>
  <c r="C16" i="24"/>
  <c r="C17" i="24"/>
  <c r="C18" i="24"/>
  <c r="C19" i="24"/>
  <c r="C20" i="24"/>
  <c r="C21" i="24"/>
  <c r="C22" i="24"/>
  <c r="C23" i="24"/>
  <c r="C24" i="24"/>
  <c r="C25" i="24"/>
  <c r="C26" i="24"/>
  <c r="C27" i="24"/>
  <c r="C29" i="24"/>
  <c r="C30" i="24"/>
  <c r="C31" i="24"/>
  <c r="C32" i="24"/>
  <c r="C33" i="24"/>
  <c r="C34" i="24"/>
  <c r="C35" i="24"/>
  <c r="C36" i="24"/>
  <c r="C37" i="24"/>
  <c r="C38" i="24"/>
  <c r="C39" i="24"/>
  <c r="C40" i="24"/>
  <c r="C41" i="24"/>
  <c r="C42" i="24"/>
  <c r="C43" i="24"/>
  <c r="C6" i="24"/>
  <c r="A5" i="25"/>
  <c r="A6" i="25"/>
  <c r="A7" i="25"/>
  <c r="A8" i="25"/>
  <c r="A9" i="25"/>
  <c r="A10" i="25"/>
  <c r="A4" i="25"/>
  <c r="O43" i="24"/>
  <c r="N43" i="24"/>
  <c r="O42" i="24"/>
  <c r="N42" i="24"/>
  <c r="AB42" i="24" s="1"/>
  <c r="O41" i="24"/>
  <c r="N41" i="24"/>
  <c r="AC41" i="24" s="1"/>
  <c r="O40" i="24"/>
  <c r="N40" i="24"/>
  <c r="X40" i="24" s="1"/>
  <c r="O39" i="24"/>
  <c r="N39" i="24"/>
  <c r="Y39" i="24" s="1"/>
  <c r="O38" i="24"/>
  <c r="N38" i="24"/>
  <c r="AC38" i="24" s="1"/>
  <c r="O37" i="24"/>
  <c r="N37" i="24"/>
  <c r="AC37" i="24" s="1"/>
  <c r="O36" i="24"/>
  <c r="N36" i="24"/>
  <c r="AB36" i="24" s="1"/>
  <c r="O35" i="24"/>
  <c r="N35" i="24"/>
  <c r="AC35" i="24" s="1"/>
  <c r="O34" i="24"/>
  <c r="N34" i="24"/>
  <c r="AB34" i="24" s="1"/>
  <c r="O33" i="24"/>
  <c r="N33" i="24"/>
  <c r="AC33" i="24" s="1"/>
  <c r="O32" i="24"/>
  <c r="N32" i="24"/>
  <c r="Y32" i="24" s="1"/>
  <c r="O31" i="24"/>
  <c r="N31" i="24"/>
  <c r="AC31" i="24" s="1"/>
  <c r="O30" i="24"/>
  <c r="N30" i="24"/>
  <c r="AC30" i="24" s="1"/>
  <c r="O29" i="24"/>
  <c r="N29" i="24"/>
  <c r="O28" i="24"/>
  <c r="N28" i="24"/>
  <c r="AC28" i="24" s="1"/>
  <c r="O27" i="24"/>
  <c r="N27" i="24"/>
  <c r="O26" i="24"/>
  <c r="N26" i="24"/>
  <c r="AB26" i="24" s="1"/>
  <c r="O25" i="24"/>
  <c r="N25" i="24"/>
  <c r="AC25" i="24" s="1"/>
  <c r="O24" i="24"/>
  <c r="N24" i="24"/>
  <c r="AB24" i="24" s="1"/>
  <c r="O23" i="24"/>
  <c r="N23" i="24"/>
  <c r="X23" i="24" s="1"/>
  <c r="O22" i="24"/>
  <c r="N22" i="24"/>
  <c r="Y22" i="24" s="1"/>
  <c r="O21" i="24"/>
  <c r="N21" i="24"/>
  <c r="Y21" i="24" s="1"/>
  <c r="O19" i="24"/>
  <c r="N19" i="24"/>
  <c r="Y19" i="24" s="1"/>
  <c r="O18" i="24"/>
  <c r="N18" i="24"/>
  <c r="AB18" i="24" s="1"/>
  <c r="O17" i="24"/>
  <c r="N17" i="24"/>
  <c r="AB17" i="24" s="1"/>
  <c r="O16" i="24"/>
  <c r="N16" i="24"/>
  <c r="AC16" i="24" s="1"/>
  <c r="O15" i="24"/>
  <c r="N15" i="24"/>
  <c r="Y15" i="24" s="1"/>
  <c r="O14" i="24"/>
  <c r="N14" i="24"/>
  <c r="Y14" i="24" s="1"/>
  <c r="O13" i="24"/>
  <c r="N13" i="24"/>
  <c r="Y13" i="24" s="1"/>
  <c r="O12" i="24"/>
  <c r="N12" i="24"/>
  <c r="AC12" i="24" s="1"/>
  <c r="O11" i="24"/>
  <c r="N11" i="24"/>
  <c r="Y11" i="24" s="1"/>
  <c r="O10" i="24"/>
  <c r="N10" i="24"/>
  <c r="Y10" i="24" s="1"/>
  <c r="O9" i="24"/>
  <c r="N9" i="24"/>
  <c r="AB9" i="24" s="1"/>
  <c r="O8" i="24"/>
  <c r="N8" i="24"/>
  <c r="Y8" i="24" s="1"/>
  <c r="O7" i="24"/>
  <c r="N7" i="24"/>
  <c r="X7" i="24" s="1"/>
  <c r="O6" i="24"/>
  <c r="N6" i="24"/>
  <c r="M43" i="24"/>
  <c r="M42" i="24"/>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W15" i="24"/>
  <c r="V15" i="24"/>
  <c r="M15" i="24"/>
  <c r="W14" i="24"/>
  <c r="V14" i="24"/>
  <c r="M14" i="24"/>
  <c r="M13" i="24"/>
  <c r="M12" i="24"/>
  <c r="M11" i="24"/>
  <c r="M10" i="24"/>
  <c r="M9" i="24"/>
  <c r="W8" i="24"/>
  <c r="V8" i="24"/>
  <c r="M8" i="24"/>
  <c r="M7" i="24"/>
  <c r="W6" i="24"/>
  <c r="V6" i="24"/>
  <c r="M6" i="24"/>
  <c r="K3" i="22" l="1" a="1"/>
  <c r="K3" i="22" s="1"/>
  <c r="AC6" i="24"/>
  <c r="AB6" i="24"/>
  <c r="B29" i="24"/>
  <c r="AA37" i="24"/>
  <c r="AA33" i="24"/>
  <c r="AA41" i="24"/>
  <c r="Z31" i="24"/>
  <c r="Z38" i="24"/>
  <c r="Z28" i="24"/>
  <c r="Z26" i="24"/>
  <c r="B24" i="24"/>
  <c r="B16" i="24"/>
  <c r="B8" i="24"/>
  <c r="B40" i="24"/>
  <c r="B32" i="24"/>
  <c r="B28" i="24"/>
  <c r="B13" i="24"/>
  <c r="B11" i="24"/>
  <c r="X6" i="24"/>
  <c r="B36" i="24"/>
  <c r="B39" i="24"/>
  <c r="B31" i="24"/>
  <c r="B23" i="24"/>
  <c r="B15" i="24"/>
  <c r="B7" i="24"/>
  <c r="B30" i="24"/>
  <c r="B14" i="24"/>
  <c r="B38" i="24"/>
  <c r="B22" i="24"/>
  <c r="B20" i="24"/>
  <c r="B12" i="24"/>
  <c r="B43" i="24"/>
  <c r="B35" i="24"/>
  <c r="B27" i="24"/>
  <c r="B19" i="24"/>
  <c r="B41" i="24"/>
  <c r="B33" i="24"/>
  <c r="B25" i="24"/>
  <c r="B17" i="24"/>
  <c r="B9" i="24"/>
  <c r="B6" i="24"/>
  <c r="B34" i="24"/>
  <c r="B10" i="24"/>
  <c r="B42" i="24"/>
  <c r="B26" i="24"/>
  <c r="B18" i="24"/>
  <c r="B37" i="24"/>
  <c r="B21" i="24"/>
  <c r="Z37" i="24"/>
  <c r="Z33" i="24"/>
  <c r="AA38" i="24"/>
  <c r="X41" i="24"/>
  <c r="X9" i="24"/>
  <c r="Z17" i="24"/>
  <c r="AC39" i="24"/>
  <c r="AC40" i="24"/>
  <c r="AB21" i="24"/>
  <c r="AC29" i="24"/>
  <c r="X29" i="24"/>
  <c r="AA12" i="24"/>
  <c r="X16" i="24"/>
  <c r="X28" i="24"/>
  <c r="Z12" i="24"/>
  <c r="AC11" i="24"/>
  <c r="AA14" i="24"/>
  <c r="AC27" i="24"/>
  <c r="X19" i="24"/>
  <c r="AA22" i="24"/>
  <c r="AB32" i="24"/>
  <c r="AA18" i="24"/>
  <c r="AA10" i="24"/>
  <c r="AC32" i="24"/>
  <c r="X11" i="24"/>
  <c r="AC8" i="24"/>
  <c r="Y9" i="24"/>
  <c r="AA13" i="24"/>
  <c r="AB15" i="24"/>
  <c r="Y16" i="24"/>
  <c r="Y17" i="24"/>
  <c r="Z18" i="24"/>
  <c r="AB19" i="24"/>
  <c r="AC22" i="24"/>
  <c r="X32" i="24"/>
  <c r="Z16" i="24"/>
  <c r="AA8" i="24"/>
  <c r="AB22" i="24"/>
  <c r="Z6" i="24"/>
  <c r="AC9" i="24"/>
  <c r="AB16" i="24"/>
  <c r="AC19" i="24"/>
  <c r="X22" i="24"/>
  <c r="AB27" i="24"/>
  <c r="AB31" i="24"/>
  <c r="Y28" i="24"/>
  <c r="Y29" i="24"/>
  <c r="X39" i="24"/>
  <c r="Y41" i="24"/>
  <c r="Z7" i="24"/>
  <c r="AC10" i="24"/>
  <c r="X12" i="24"/>
  <c r="AC21" i="24"/>
  <c r="X33" i="24"/>
  <c r="AA6" i="24"/>
  <c r="Z8" i="24"/>
  <c r="AA9" i="24"/>
  <c r="Y12" i="24"/>
  <c r="Z13" i="24"/>
  <c r="Z22" i="24"/>
  <c r="X30" i="24"/>
  <c r="Y33" i="24"/>
  <c r="AB35" i="24"/>
  <c r="AB37" i="24"/>
  <c r="X38" i="24"/>
  <c r="AB13" i="24"/>
  <c r="Z14" i="24"/>
  <c r="Y30" i="24"/>
  <c r="Y38" i="24"/>
  <c r="Z24" i="24"/>
  <c r="Y7" i="24"/>
  <c r="AA7" i="24"/>
  <c r="Z10" i="24"/>
  <c r="AA11" i="24"/>
  <c r="Y40" i="24"/>
  <c r="Y6" i="24"/>
  <c r="AC7" i="24"/>
  <c r="AB11" i="24"/>
  <c r="AB8" i="24"/>
  <c r="AB10" i="24"/>
  <c r="AB14" i="24"/>
  <c r="AC15" i="24"/>
  <c r="Y43" i="24"/>
  <c r="X43" i="24"/>
  <c r="AB7" i="24"/>
  <c r="AC13" i="24"/>
  <c r="AA15" i="24"/>
  <c r="AC17" i="24"/>
  <c r="AA17" i="24"/>
  <c r="Y25" i="24"/>
  <c r="X25" i="24"/>
  <c r="Y34" i="24"/>
  <c r="X34" i="24"/>
  <c r="AC34" i="24"/>
  <c r="Y42" i="24"/>
  <c r="X42" i="24"/>
  <c r="AC42" i="24"/>
  <c r="AA21" i="24"/>
  <c r="Z21" i="24"/>
  <c r="Y35" i="24"/>
  <c r="X35" i="24"/>
  <c r="AC23" i="24"/>
  <c r="AA23" i="24"/>
  <c r="X8" i="24"/>
  <c r="Z9" i="24"/>
  <c r="X10" i="24"/>
  <c r="Z11" i="24"/>
  <c r="AB12" i="24"/>
  <c r="Y18" i="24"/>
  <c r="X18" i="24"/>
  <c r="AC18" i="24"/>
  <c r="Y23" i="24"/>
  <c r="Y26" i="24"/>
  <c r="X26" i="24"/>
  <c r="AC26" i="24"/>
  <c r="AC14" i="24"/>
  <c r="X14" i="24"/>
  <c r="X15" i="24"/>
  <c r="Z23" i="24"/>
  <c r="Y27" i="24"/>
  <c r="X27" i="24"/>
  <c r="Y31" i="24"/>
  <c r="X31" i="24"/>
  <c r="Y36" i="24"/>
  <c r="X36" i="24"/>
  <c r="AC36" i="24"/>
  <c r="AB43" i="24"/>
  <c r="AA19" i="24"/>
  <c r="Z19" i="24"/>
  <c r="Y24" i="24"/>
  <c r="X24" i="24"/>
  <c r="AC24" i="24"/>
  <c r="X13" i="24"/>
  <c r="Z15" i="24"/>
  <c r="AA16" i="24"/>
  <c r="X17" i="24"/>
  <c r="X21" i="24"/>
  <c r="AB23" i="24"/>
  <c r="AA24" i="24"/>
  <c r="AB25" i="24"/>
  <c r="Y37" i="24"/>
  <c r="X37" i="24"/>
  <c r="AC43" i="24"/>
  <c r="AB29" i="24"/>
  <c r="AB33" i="24"/>
  <c r="AB39" i="24"/>
  <c r="AB41" i="24"/>
  <c r="AB28" i="24"/>
  <c r="AB30" i="24"/>
  <c r="AB38" i="24"/>
  <c r="AB40" i="24"/>
  <c r="AA28" i="24" l="1"/>
  <c r="AE28" i="24" s="1"/>
  <c r="Z41" i="24"/>
  <c r="AD41" i="24" s="1"/>
  <c r="AA26" i="24"/>
  <c r="AE26" i="24" s="1"/>
  <c r="AA31" i="24"/>
  <c r="AE31" i="24" s="1"/>
  <c r="AE22" i="24"/>
  <c r="AD18" i="24"/>
  <c r="Z32" i="24"/>
  <c r="AD32" i="24" s="1"/>
  <c r="AA32" i="24"/>
  <c r="AE32" i="24" s="1"/>
  <c r="Z39" i="24"/>
  <c r="AD39" i="24" s="1"/>
  <c r="AA39" i="24"/>
  <c r="AE39" i="24" s="1"/>
  <c r="Z40" i="24"/>
  <c r="AD40" i="24" s="1"/>
  <c r="AA40" i="24"/>
  <c r="AE40" i="24" s="1"/>
  <c r="Z35" i="24"/>
  <c r="AD35" i="24" s="1"/>
  <c r="AA35" i="24"/>
  <c r="AE35" i="24" s="1"/>
  <c r="Z30" i="24"/>
  <c r="AD30" i="24" s="1"/>
  <c r="AA30" i="24"/>
  <c r="AE30" i="24" s="1"/>
  <c r="Z43" i="24"/>
  <c r="AD43" i="24" s="1"/>
  <c r="AA43" i="24"/>
  <c r="AE43" i="24" s="1"/>
  <c r="AA36" i="24"/>
  <c r="AE36" i="24" s="1"/>
  <c r="Z36" i="24"/>
  <c r="AD36" i="24" s="1"/>
  <c r="Z34" i="24"/>
  <c r="AD34" i="24" s="1"/>
  <c r="AA34" i="24"/>
  <c r="AE34" i="24" s="1"/>
  <c r="Z27" i="24"/>
  <c r="AD27" i="24" s="1"/>
  <c r="AA27" i="24"/>
  <c r="AE27" i="24" s="1"/>
  <c r="AA25" i="24"/>
  <c r="AE25" i="24" s="1"/>
  <c r="Z25" i="24"/>
  <c r="AD25" i="24" s="1"/>
  <c r="Z42" i="24"/>
  <c r="AD42" i="24" s="1"/>
  <c r="AA42" i="24"/>
  <c r="AE42" i="24" s="1"/>
  <c r="AA29" i="24"/>
  <c r="AE29" i="24" s="1"/>
  <c r="Z29" i="24"/>
  <c r="AD29" i="24" s="1"/>
  <c r="AD9" i="24"/>
  <c r="AD17" i="24"/>
  <c r="AE16" i="24"/>
  <c r="AD14" i="24"/>
  <c r="AE13" i="24"/>
  <c r="AE12" i="24"/>
  <c r="AD19" i="24"/>
  <c r="AD26" i="24"/>
  <c r="AE41" i="24"/>
  <c r="AD24" i="24"/>
  <c r="AE19" i="24"/>
  <c r="AD16" i="24"/>
  <c r="AE8" i="24"/>
  <c r="AE10" i="24"/>
  <c r="AD21" i="24"/>
  <c r="AE14" i="24"/>
  <c r="AE24" i="24"/>
  <c r="AE11" i="24"/>
  <c r="AD8" i="24"/>
  <c r="AE9" i="24"/>
  <c r="AD33" i="24"/>
  <c r="AE23" i="24"/>
  <c r="AD6" i="24"/>
  <c r="AE21" i="24"/>
  <c r="AD28" i="24"/>
  <c r="AD12" i="24"/>
  <c r="AE6" i="24"/>
  <c r="AD23" i="24"/>
  <c r="AD11" i="24"/>
  <c r="AE17" i="24"/>
  <c r="AD22" i="24"/>
  <c r="AE18" i="24"/>
  <c r="AD15" i="24"/>
  <c r="AE38" i="24"/>
  <c r="AE7" i="24"/>
  <c r="AD38" i="24"/>
  <c r="AD13" i="24"/>
  <c r="AE33" i="24"/>
  <c r="AD37" i="24"/>
  <c r="AE15" i="24"/>
  <c r="AD7" i="24"/>
  <c r="AE37" i="24"/>
  <c r="AD31" i="24"/>
  <c r="AD10" i="24"/>
  <c r="I5" i="13" l="1"/>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 i="13"/>
  <c r="B1" i="13" a="1"/>
  <c r="B1" i="13" s="1"/>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3" i="13"/>
  <c r="B34" i="13"/>
  <c r="B35" i="13"/>
  <c r="B36" i="13"/>
  <c r="B37" i="13"/>
  <c r="B38" i="13"/>
  <c r="B39" i="13"/>
  <c r="B40" i="13"/>
  <c r="B41" i="13"/>
  <c r="B42" i="13"/>
  <c r="B43" i="13"/>
  <c r="B44" i="13"/>
  <c r="B45" i="13"/>
  <c r="B4" i="13"/>
  <c r="D44" i="5"/>
  <c r="D20" i="5"/>
  <c r="F13" i="21" l="1"/>
  <c r="F12" i="21"/>
  <c r="V5" i="13" l="1"/>
  <c r="W5" i="13" s="1"/>
  <c r="V6" i="13"/>
  <c r="W6" i="13" s="1"/>
  <c r="V7" i="13"/>
  <c r="W7" i="13" s="1"/>
  <c r="V8" i="13"/>
  <c r="W8" i="13" s="1"/>
  <c r="V9" i="13"/>
  <c r="W9" i="13" s="1"/>
  <c r="V10" i="13"/>
  <c r="W10" i="13" s="1"/>
  <c r="V11" i="13"/>
  <c r="W11" i="13" s="1"/>
  <c r="V12" i="13"/>
  <c r="W12" i="13" s="1"/>
  <c r="V13" i="13"/>
  <c r="W13" i="13" s="1"/>
  <c r="V14" i="13"/>
  <c r="W14" i="13" s="1"/>
  <c r="V15" i="13"/>
  <c r="W15" i="13" s="1"/>
  <c r="V16" i="13"/>
  <c r="W16" i="13" s="1"/>
  <c r="V17" i="13"/>
  <c r="W17" i="13" s="1"/>
  <c r="V18" i="13"/>
  <c r="W18" i="13" s="1"/>
  <c r="V19" i="13"/>
  <c r="W19" i="13" s="1"/>
  <c r="V20" i="13"/>
  <c r="W20" i="13" s="1"/>
  <c r="V21" i="13"/>
  <c r="W21" i="13" s="1"/>
  <c r="V22" i="13"/>
  <c r="W22" i="13" s="1"/>
  <c r="V23" i="13"/>
  <c r="W23" i="13" s="1"/>
  <c r="V24" i="13"/>
  <c r="W24" i="13" s="1"/>
  <c r="V25" i="13"/>
  <c r="W25" i="13" s="1"/>
  <c r="V26" i="13"/>
  <c r="W26" i="13" s="1"/>
  <c r="V27" i="13"/>
  <c r="W27" i="13" s="1"/>
  <c r="V28" i="13"/>
  <c r="W28" i="13" s="1"/>
  <c r="V29" i="13"/>
  <c r="W29" i="13" s="1"/>
  <c r="V30" i="13"/>
  <c r="W30" i="13" s="1"/>
  <c r="V31" i="13"/>
  <c r="W31" i="13" s="1"/>
  <c r="V32" i="13"/>
  <c r="W32" i="13" s="1"/>
  <c r="V33" i="13"/>
  <c r="W33" i="13" s="1"/>
  <c r="V34" i="13"/>
  <c r="W34" i="13" s="1"/>
  <c r="V35" i="13"/>
  <c r="W35" i="13" s="1"/>
  <c r="V36" i="13"/>
  <c r="W36" i="13" s="1"/>
  <c r="V37" i="13"/>
  <c r="W37" i="13" s="1"/>
  <c r="V38" i="13"/>
  <c r="W38" i="13" s="1"/>
  <c r="V39" i="13"/>
  <c r="W39" i="13" s="1"/>
  <c r="V40" i="13"/>
  <c r="W40" i="13" s="1"/>
  <c r="V41" i="13"/>
  <c r="W41" i="13" s="1"/>
  <c r="V42" i="13"/>
  <c r="W42" i="13" s="1"/>
  <c r="V43" i="13"/>
  <c r="W43" i="13" s="1"/>
  <c r="V44" i="13"/>
  <c r="W44" i="13" s="1"/>
  <c r="V45" i="13"/>
  <c r="W45" i="13" s="1"/>
  <c r="V4" i="13"/>
  <c r="W4" i="13" s="1"/>
  <c r="T45" i="13"/>
  <c r="M45" i="13"/>
  <c r="O45" i="13" s="1"/>
  <c r="L45" i="13"/>
  <c r="O44" i="13"/>
  <c r="S44" i="13" s="1"/>
  <c r="N44" i="13"/>
  <c r="R44" i="13" s="1"/>
  <c r="R43" i="13"/>
  <c r="P43" i="13"/>
  <c r="O43" i="13"/>
  <c r="S43" i="13" s="1"/>
  <c r="L43" i="13"/>
  <c r="O42" i="13"/>
  <c r="Q42" i="13" s="1"/>
  <c r="N42" i="13"/>
  <c r="R42" i="13" s="1"/>
  <c r="T41" i="13"/>
  <c r="M41" i="13"/>
  <c r="O41" i="13" s="1"/>
  <c r="L41" i="13"/>
  <c r="O40" i="13"/>
  <c r="S40" i="13" s="1"/>
  <c r="N40" i="13"/>
  <c r="P40" i="13" s="1"/>
  <c r="R39" i="13"/>
  <c r="P39" i="13"/>
  <c r="O39" i="13"/>
  <c r="S39" i="13" s="1"/>
  <c r="L39" i="13"/>
  <c r="O38" i="13"/>
  <c r="S38" i="13" s="1"/>
  <c r="N38" i="13"/>
  <c r="P38" i="13" s="1"/>
  <c r="T37" i="13"/>
  <c r="M37" i="13"/>
  <c r="O37" i="13" s="1"/>
  <c r="L37" i="13"/>
  <c r="O36" i="13"/>
  <c r="Q36" i="13" s="1"/>
  <c r="N36" i="13"/>
  <c r="R36" i="13" s="1"/>
  <c r="E35" i="13"/>
  <c r="T34" i="13"/>
  <c r="T35" i="13" s="1"/>
  <c r="M34" i="13"/>
  <c r="O34" i="13" s="1"/>
  <c r="L34" i="13"/>
  <c r="L35" i="13" s="1"/>
  <c r="E34" i="13"/>
  <c r="O33" i="13"/>
  <c r="S33" i="13" s="1"/>
  <c r="N33" i="13"/>
  <c r="P33" i="13" s="1"/>
  <c r="T32" i="13"/>
  <c r="M32" i="13"/>
  <c r="O32" i="13" s="1"/>
  <c r="L32" i="13"/>
  <c r="G32" i="13"/>
  <c r="B32" i="13" s="1"/>
  <c r="O31" i="13"/>
  <c r="S31" i="13" s="1"/>
  <c r="N31" i="13"/>
  <c r="R31" i="13" s="1"/>
  <c r="T30" i="13"/>
  <c r="M30" i="13"/>
  <c r="N30" i="13" s="1"/>
  <c r="L30" i="13"/>
  <c r="O29" i="13"/>
  <c r="Q29" i="13" s="1"/>
  <c r="N29" i="13"/>
  <c r="R29" i="13" s="1"/>
  <c r="T27" i="13"/>
  <c r="T28" i="13" s="1"/>
  <c r="M27" i="13"/>
  <c r="O27" i="13" s="1"/>
  <c r="L27" i="13"/>
  <c r="L28" i="13" s="1"/>
  <c r="E27" i="13"/>
  <c r="E28" i="13" s="1"/>
  <c r="O26" i="13"/>
  <c r="S26" i="13" s="1"/>
  <c r="N26" i="13"/>
  <c r="R26" i="13" s="1"/>
  <c r="O25" i="13"/>
  <c r="S25" i="13" s="1"/>
  <c r="N25" i="13"/>
  <c r="R25" i="13" s="1"/>
  <c r="T24" i="13"/>
  <c r="M24" i="13"/>
  <c r="N24" i="13" s="1"/>
  <c r="L24" i="13"/>
  <c r="O23" i="13"/>
  <c r="S23" i="13" s="1"/>
  <c r="N23" i="13"/>
  <c r="R23" i="13" s="1"/>
  <c r="T21" i="13"/>
  <c r="T22" i="13" s="1"/>
  <c r="M21" i="13"/>
  <c r="M22" i="13" s="1"/>
  <c r="L21" i="13"/>
  <c r="L22" i="13" s="1"/>
  <c r="O20" i="13"/>
  <c r="S20" i="13" s="1"/>
  <c r="N20" i="13"/>
  <c r="R20" i="13" s="1"/>
  <c r="O19" i="13"/>
  <c r="Q19" i="13" s="1"/>
  <c r="N19" i="13"/>
  <c r="R19" i="13" s="1"/>
  <c r="O18" i="13"/>
  <c r="Q18" i="13" s="1"/>
  <c r="N18" i="13"/>
  <c r="R18" i="13" s="1"/>
  <c r="O17" i="13"/>
  <c r="S17" i="13" s="1"/>
  <c r="N17" i="13"/>
  <c r="R17" i="13" s="1"/>
  <c r="O16" i="13"/>
  <c r="S16" i="13" s="1"/>
  <c r="N16" i="13"/>
  <c r="P16" i="13" s="1"/>
  <c r="O15" i="13"/>
  <c r="S15" i="13" s="1"/>
  <c r="N15" i="13"/>
  <c r="R15" i="13" s="1"/>
  <c r="O14" i="13"/>
  <c r="S14" i="13" s="1"/>
  <c r="N14" i="13"/>
  <c r="P14" i="13" s="1"/>
  <c r="O13" i="13"/>
  <c r="S13" i="13" s="1"/>
  <c r="N13" i="13"/>
  <c r="R13" i="13" s="1"/>
  <c r="O12" i="13"/>
  <c r="S12" i="13" s="1"/>
  <c r="N12" i="13"/>
  <c r="R12" i="13" s="1"/>
  <c r="T10" i="13"/>
  <c r="T11" i="13" s="1"/>
  <c r="M10" i="13"/>
  <c r="N10" i="13" s="1"/>
  <c r="R10" i="13" s="1"/>
  <c r="L10" i="13"/>
  <c r="L11" i="13" s="1"/>
  <c r="O9" i="13"/>
  <c r="S9" i="13" s="1"/>
  <c r="N9" i="13"/>
  <c r="R9" i="13" s="1"/>
  <c r="O8" i="13"/>
  <c r="S8" i="13" s="1"/>
  <c r="N8" i="13"/>
  <c r="R8" i="13" s="1"/>
  <c r="E7" i="13"/>
  <c r="T6" i="13"/>
  <c r="T7" i="13" s="1"/>
  <c r="M6" i="13"/>
  <c r="O6" i="13" s="1"/>
  <c r="L6" i="13"/>
  <c r="L7" i="13" s="1"/>
  <c r="E6" i="13"/>
  <c r="O5" i="13"/>
  <c r="Q5" i="13" s="1"/>
  <c r="N5" i="13"/>
  <c r="R5" i="13" s="1"/>
  <c r="O4" i="13"/>
  <c r="S4" i="13" s="1"/>
  <c r="N4" i="13"/>
  <c r="D45" i="5"/>
  <c r="D40" i="5"/>
  <c r="D5" i="5"/>
  <c r="D4" i="5"/>
  <c r="D10" i="5" l="1"/>
  <c r="D56" i="5"/>
  <c r="D75" i="5" s="1"/>
  <c r="D11" i="5"/>
  <c r="D9" i="5"/>
  <c r="D41" i="5"/>
  <c r="D42" i="5" s="1"/>
  <c r="D78" i="5"/>
  <c r="D97" i="5" s="1"/>
  <c r="D6" i="5"/>
  <c r="E18" i="2" s="1"/>
  <c r="I3" i="22" a="1"/>
  <c r="I3" i="22" s="1"/>
  <c r="J3" i="22" a="1"/>
  <c r="J3" i="22" s="1"/>
  <c r="D100" i="5"/>
  <c r="D119" i="5" s="1"/>
  <c r="R4" i="13"/>
  <c r="P4" i="13"/>
  <c r="Q15" i="13"/>
  <c r="P15" i="13"/>
  <c r="P29" i="13"/>
  <c r="P26" i="13"/>
  <c r="R16" i="13"/>
  <c r="M35" i="13"/>
  <c r="N6" i="13"/>
  <c r="R6" i="13" s="1"/>
  <c r="O10" i="13"/>
  <c r="Q10" i="13" s="1"/>
  <c r="Q16" i="13"/>
  <c r="M7" i="13"/>
  <c r="O7" i="13" s="1"/>
  <c r="Q7" i="13" s="1"/>
  <c r="P44" i="13"/>
  <c r="P8" i="13"/>
  <c r="P23" i="13"/>
  <c r="S29" i="13"/>
  <c r="Q40" i="13"/>
  <c r="Q8" i="13"/>
  <c r="M11" i="13"/>
  <c r="O11" i="13" s="1"/>
  <c r="Q11" i="13" s="1"/>
  <c r="P20" i="13"/>
  <c r="Q23" i="13"/>
  <c r="P36" i="13"/>
  <c r="Q20" i="13"/>
  <c r="O30" i="13"/>
  <c r="S30" i="13" s="1"/>
  <c r="P25" i="13"/>
  <c r="M28" i="13"/>
  <c r="O28" i="13" s="1"/>
  <c r="S28" i="13" s="1"/>
  <c r="P31" i="13"/>
  <c r="S18" i="13"/>
  <c r="N22" i="13"/>
  <c r="O22" i="13"/>
  <c r="Q34" i="13"/>
  <c r="S34" i="13"/>
  <c r="Q37" i="13"/>
  <c r="S37" i="13"/>
  <c r="P24" i="13"/>
  <c r="R24" i="13"/>
  <c r="S32" i="13"/>
  <c r="Q32" i="13"/>
  <c r="Q6" i="13"/>
  <c r="S6" i="13"/>
  <c r="R30" i="13"/>
  <c r="P30" i="13"/>
  <c r="S27" i="13"/>
  <c r="Q27" i="13"/>
  <c r="S45" i="13"/>
  <c r="Q45" i="13"/>
  <c r="S41" i="13"/>
  <c r="Q41" i="13"/>
  <c r="Q44" i="13"/>
  <c r="P42" i="13"/>
  <c r="Q31" i="13"/>
  <c r="R40" i="13"/>
  <c r="S5" i="13"/>
  <c r="Q33" i="13"/>
  <c r="Q38" i="13"/>
  <c r="S42" i="13"/>
  <c r="P10" i="13"/>
  <c r="O24" i="13"/>
  <c r="Q26" i="13"/>
  <c r="N21" i="13"/>
  <c r="Q14" i="13"/>
  <c r="R14" i="13"/>
  <c r="P17" i="13"/>
  <c r="S36" i="13"/>
  <c r="R38" i="13"/>
  <c r="P9" i="13"/>
  <c r="Q12" i="13"/>
  <c r="Q17" i="13"/>
  <c r="P5" i="13"/>
  <c r="O21" i="13"/>
  <c r="P12" i="13"/>
  <c r="S19" i="13"/>
  <c r="R33" i="13"/>
  <c r="Q9" i="13"/>
  <c r="P19" i="13"/>
  <c r="N45" i="13"/>
  <c r="N27" i="13"/>
  <c r="N32" i="13"/>
  <c r="N41" i="13"/>
  <c r="Q25" i="13"/>
  <c r="N37" i="13"/>
  <c r="Q43" i="13"/>
  <c r="Q4" i="13"/>
  <c r="P13" i="13"/>
  <c r="Q39" i="13"/>
  <c r="Q13" i="13"/>
  <c r="P18" i="13"/>
  <c r="N34" i="13"/>
  <c r="E75" i="5" a="1"/>
  <c r="E75" i="5" l="1"/>
  <c r="H104" i="5"/>
  <c r="S55" i="2" s="1"/>
  <c r="S14" i="2"/>
  <c r="R17" i="2" s="1"/>
  <c r="H103" i="5"/>
  <c r="S44" i="2" s="1"/>
  <c r="H60" i="5"/>
  <c r="M55" i="2" s="1"/>
  <c r="H59" i="5"/>
  <c r="M44" i="2" s="1"/>
  <c r="H82" i="5"/>
  <c r="P55" i="2" s="1"/>
  <c r="H81" i="5"/>
  <c r="P44" i="2" s="1"/>
  <c r="M14" i="2"/>
  <c r="P14" i="2"/>
  <c r="O17" i="2" s="1"/>
  <c r="S7" i="13"/>
  <c r="Q30" i="13"/>
  <c r="N7" i="13"/>
  <c r="R7" i="13" s="1"/>
  <c r="P6" i="13"/>
  <c r="N11" i="13"/>
  <c r="R11" i="13" s="1"/>
  <c r="S10" i="13"/>
  <c r="O35" i="13"/>
  <c r="N35" i="13"/>
  <c r="N28" i="13"/>
  <c r="R28" i="13" s="1"/>
  <c r="Q28" i="13"/>
  <c r="S11" i="13"/>
  <c r="R22" i="13"/>
  <c r="P22" i="13"/>
  <c r="P34" i="13"/>
  <c r="R34" i="13"/>
  <c r="R32" i="13"/>
  <c r="P32" i="13"/>
  <c r="Q24" i="13"/>
  <c r="S24" i="13"/>
  <c r="R27" i="13"/>
  <c r="P27" i="13"/>
  <c r="S21" i="13"/>
  <c r="Q21" i="13"/>
  <c r="R37" i="13"/>
  <c r="P37" i="13"/>
  <c r="R41" i="13"/>
  <c r="P41" i="13"/>
  <c r="R45" i="13"/>
  <c r="P45" i="13"/>
  <c r="P21" i="13"/>
  <c r="R21" i="13"/>
  <c r="S22" i="13"/>
  <c r="Q22" i="13"/>
  <c r="R18" i="2" l="1"/>
  <c r="P7" i="13"/>
  <c r="P11" i="13"/>
  <c r="P28" i="13"/>
  <c r="R35" i="13"/>
  <c r="P35" i="13"/>
  <c r="S35" i="13"/>
  <c r="Q35" i="13"/>
  <c r="D7" i="5"/>
  <c r="D8" i="5" l="1"/>
  <c r="D14" i="5" s="1"/>
  <c r="D15" i="5" s="1"/>
  <c r="D18" i="5" l="1"/>
  <c r="D57" i="5" s="1"/>
  <c r="D19" i="5"/>
  <c r="G40" i="2" s="1"/>
  <c r="D79" i="5" l="1"/>
  <c r="D33" i="5"/>
  <c r="D50" i="5"/>
  <c r="D58" i="5"/>
  <c r="D80" i="5"/>
  <c r="D102" i="5"/>
  <c r="D101" i="5"/>
  <c r="G38" i="2"/>
  <c r="D21" i="5"/>
  <c r="D49" i="5" s="1"/>
  <c r="D34" i="5" l="1"/>
  <c r="D59" i="5" l="1"/>
  <c r="D106" i="5" l="1"/>
  <c r="D103" i="5"/>
  <c r="D104" i="5"/>
  <c r="D105" i="5"/>
  <c r="D82" i="5"/>
  <c r="D81" i="5"/>
  <c r="D60" i="5"/>
  <c r="D61" i="5"/>
  <c r="D83" i="5"/>
  <c r="D84" i="5"/>
  <c r="D62" i="5"/>
  <c r="D26" i="5"/>
  <c r="D35" i="5"/>
  <c r="D36" i="5" s="1"/>
  <c r="D51" i="5"/>
  <c r="D52" i="5" s="1"/>
  <c r="D107" i="5" l="1"/>
  <c r="D94" i="5"/>
  <c r="D95" i="5" s="1"/>
  <c r="D72" i="5"/>
  <c r="D73" i="5" s="1"/>
  <c r="D71" i="5"/>
  <c r="D93" i="5"/>
  <c r="D115" i="5"/>
  <c r="D116" i="5"/>
  <c r="D117" i="5" s="1"/>
  <c r="D64" i="5"/>
  <c r="D65" i="5" s="1"/>
  <c r="D63" i="5"/>
  <c r="D85" i="5"/>
  <c r="D86" i="5"/>
  <c r="D87" i="5" s="1"/>
  <c r="D108" i="5"/>
  <c r="D109" i="5" s="1"/>
  <c r="D111" i="5"/>
  <c r="D112" i="5"/>
  <c r="D113" i="5" s="1"/>
  <c r="D89" i="5"/>
  <c r="D90" i="5"/>
  <c r="D91" i="5" s="1"/>
  <c r="D68" i="5"/>
  <c r="D69" i="5" s="1"/>
  <c r="D67" i="5"/>
  <c r="H58" i="5" l="1"/>
  <c r="M38" i="2" s="1"/>
  <c r="D92" i="5"/>
  <c r="H79" i="5"/>
  <c r="P32" i="2" s="1"/>
  <c r="D118" i="5"/>
  <c r="I102" i="5" s="1"/>
  <c r="H102" i="5"/>
  <c r="S38" i="2" s="1"/>
  <c r="D114" i="5"/>
  <c r="H101" i="5"/>
  <c r="S32" i="2" s="1"/>
  <c r="D96" i="5"/>
  <c r="I80" i="5" s="1"/>
  <c r="H80" i="5"/>
  <c r="P38" i="2" s="1"/>
  <c r="D70" i="5"/>
  <c r="H57" i="5"/>
  <c r="M32" i="2" s="1"/>
  <c r="H78" i="5"/>
  <c r="P29" i="2" s="1"/>
  <c r="H56" i="5"/>
  <c r="M29" i="2" s="1"/>
  <c r="D110" i="5"/>
  <c r="I100" i="5" s="1"/>
  <c r="H100" i="5"/>
  <c r="S29" i="2" s="1"/>
  <c r="D88" i="5"/>
  <c r="I78" i="5" s="1"/>
  <c r="D74" i="5"/>
  <c r="I58" i="5" s="1"/>
  <c r="D66" i="5"/>
  <c r="I56" i="5" s="1"/>
  <c r="S41" i="2" l="1"/>
  <c r="M30" i="2"/>
  <c r="S30" i="2"/>
  <c r="I101" i="5"/>
  <c r="S35" i="2" s="1"/>
  <c r="P30" i="2"/>
  <c r="P41" i="2"/>
  <c r="I57" i="5"/>
  <c r="M35" i="2" s="1"/>
  <c r="I79" i="5"/>
  <c r="P35" i="2" s="1"/>
  <c r="M4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Kasia Boyd</author>
  </authors>
  <commentList>
    <comment ref="G60" authorId="0" shapeId="0" xr:uid="{1D6B3461-70BA-451F-BAD4-18D0706C32F7}">
      <text>
        <r>
          <rPr>
            <b/>
            <sz val="9"/>
            <color indexed="81"/>
            <rFont val="Tahoma"/>
            <family val="2"/>
          </rPr>
          <t xml:space="preserve">Note
</t>
        </r>
        <r>
          <rPr>
            <sz val="9"/>
            <color indexed="81"/>
            <rFont val="Tahoma"/>
            <family val="2"/>
          </rPr>
          <t>District energy costs vary widely, so it is strongly recommended to enter a user-defined district heating rate. Review your district energy utility bill or contact your provider to obtain this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tc={FA2A83FB-F0CF-47BE-A0EF-254DA111B586}</author>
    <author>tc={97D7AED1-D795-4DC8-9355-DA63564A1896}</author>
  </authors>
  <commentList>
    <comment ref="D21" authorId="0" shapeId="0" xr:uid="{FA2A83FB-F0CF-47BE-A0EF-254DA111B586}">
      <text>
        <t>[Threaded comment]
Your version of Excel allows you to read this threaded comment; however, any edits to it will get removed if the file is opened in a newer version of Excel. Learn more: https://go.microsoft.com/fwlink/?linkid=870924
Comment:
    Same comments, shouldn’t multiple by area. Should pull row 17 or 18
Reply:
    Agreed, formula is fixed</t>
      </text>
    </comment>
    <comment ref="D25" authorId="1" shapeId="0" xr:uid="{97D7AED1-D795-4DC8-9355-DA63564A1896}">
      <text>
        <t>[Threaded comment]
Your version of Excel allows you to read this threaded comment; however, any edits to it will get removed if the file is opened in a newer version of Excel. Learn more: https://go.microsoft.com/fwlink/?linkid=870924
Comment:
    Same comments, shouldn’t multiple by area. Should pull row 17 or 18
Reply:
    Agreed, formula is fixed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tc={4985ECB9-8B54-4A78-ABC3-31EDC11AA0A6}</author>
    <author>tc={F638A9C0-B52D-4B4F-BF1C-8AD2877E7C82}</author>
    <author>tc={16D1F627-2A8D-40FA-BC3E-57C684D72155}</author>
    <author>tc={3C9CBDE6-FA1A-4616-A69E-5C6A182F1850}</author>
    <author>tc={1342FF4E-3105-47E7-82D4-F902005C0D87}</author>
    <author>tc={B262FDDF-CAB8-4962-90E1-857F35E64988}</author>
    <author>tc={6542D759-00B8-4C59-A063-A6123FA75EB9}</author>
  </authors>
  <commentList>
    <comment ref="P2" authorId="0" shapeId="0" xr:uid="{4985ECB9-8B54-4A78-ABC3-31EDC11AA0A6}">
      <text>
        <t>[Threaded comment]
Your version of Excel allows you to read this threaded comment; however, any edits to it will get removed if the file is opened in a newer version of Excel. Learn more: https://go.microsoft.com/fwlink/?linkid=870924
Comment:
    Assuming this is based on 40% (https://natural-resources.canada.ca/energy-efficiency/energy-star-canada/energy-star-for-buildings/energy-benchmarking-data-snapshots/energy-benchmarking-data-snapshots-for-all-building-types/24263)</t>
      </text>
    </comment>
    <comment ref="Q2" authorId="1" shapeId="0" xr:uid="{F638A9C0-B52D-4B4F-BF1C-8AD2877E7C82}">
      <text>
        <t>[Threaded comment]
Your version of Excel allows you to read this threaded comment; however, any edits to it will get removed if the file is opened in a newer version of Excel. Learn more: https://go.microsoft.com/fwlink/?linkid=870924
Comment:
    Assuming this is based on 40% (https://natural-resources.canada.ca/energy-efficiency/energy-star-canada/energy-star-for-buildings/energy-benchmarking-data-snapshots/energy-benchmarking-data-snapshots-for-all-building-types/24263)</t>
      </text>
    </comment>
    <comment ref="R2" authorId="2" shapeId="0" xr:uid="{16D1F627-2A8D-40FA-BC3E-57C684D72155}">
      <text>
        <t>[Threaded comment]
Your version of Excel allows you to read this threaded comment; however, any edits to it will get removed if the file is opened in a newer version of Excel. Learn more: https://go.microsoft.com/fwlink/?linkid=870924
Comment:
    Assuming this is based on 40% (https://natural-resources.canada.ca/energy-efficiency/energy-star-canada/energy-star-for-buildings/energy-benchmarking-data-snapshots/energy-benchmarking-data-snapshots-for-all-building-types/24263)</t>
      </text>
    </comment>
    <comment ref="S2" authorId="3" shapeId="0" xr:uid="{3C9CBDE6-FA1A-4616-A69E-5C6A182F1850}">
      <text>
        <t>[Threaded comment]
Your version of Excel allows you to read this threaded comment; however, any edits to it will get removed if the file is opened in a newer version of Excel. Learn more: https://go.microsoft.com/fwlink/?linkid=870924
Comment:
    Assuming this is based on 40% (https://natural-resources.canada.ca/energy-efficiency/energy-star-canada/energy-star-for-buildings/energy-benchmarking-data-snapshots/energy-benchmarking-data-snapshots-for-all-building-types/24263)</t>
      </text>
    </comment>
    <comment ref="U2" authorId="4" shapeId="0" xr:uid="{1342FF4E-3105-47E7-82D4-F902005C0D87}">
      <text>
        <t>[Threaded comment]
Your version of Excel allows you to read this threaded comment; however, any edits to it will get removed if the file is opened in a newer version of Excel. Learn more: https://go.microsoft.com/fwlink/?linkid=870924
Comment:
    Energy split for natural gas and electricty is based on the to tal energy use breakdown provided in the following link https://natural-resources.canada.ca/energy-efficiency/energy-star-canada/energy-star-for-buildings/energy-benchmarking-data-snapshots/energy-benchmarking-data-snapshots-for-all-building-types/24263</t>
      </text>
    </comment>
    <comment ref="V2" authorId="5" shapeId="0" xr:uid="{B262FDDF-CAB8-4962-90E1-857F35E64988}">
      <text>
        <t>[Threaded comment]
Your version of Excel allows you to read this threaded comment; however, any edits to it will get removed if the file is opened in a newer version of Excel. Learn more: https://go.microsoft.com/fwlink/?linkid=870924
Comment:
    Energy split for natural gas and electricty is based on the to tal energy use breakdown provided in the following link https://natural-resources.canada.ca/energy-efficiency/energy-star-canada/energy-star-for-buildings/energy-benchmarking-data-snapshots/energy-benchmarking-data-snapshots-for-all-building-types/24263</t>
      </text>
    </comment>
    <comment ref="W2" authorId="6" shapeId="0" xr:uid="{6542D759-00B8-4C59-A063-A6123FA75EB9}">
      <text>
        <t>[Threaded comment]
Your version of Excel allows you to read this threaded comment; however, any edits to it will get removed if the file is opened in a newer version of Excel. Learn more: https://go.microsoft.com/fwlink/?linkid=870924
Comment:
    Energy split for natural gas and electricty is based on the to tal energy use breakdown provided in the following link https://natural-resources.canada.ca/energy-efficiency/energy-star-canada/energy-star-for-buildings/energy-benchmarking-data-snapshots/energy-benchmarking-data-snapshots-for-all-building-types/24263</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<sst xmlns="http://schemas.openxmlformats.org/spreadsheetml/2006/main" count="1059" uniqueCount="324">
  <si>
    <t>Retrofit Measure</t>
  </si>
  <si>
    <t>Mixed Use</t>
  </si>
  <si>
    <t>Area</t>
  </si>
  <si>
    <t>kWh</t>
  </si>
  <si>
    <t>Enter energy use cost rates (if known)</t>
  </si>
  <si>
    <t>Equipment # 1</t>
  </si>
  <si>
    <t>Energy Savings</t>
  </si>
  <si>
    <t>Energy Cost Reduction</t>
  </si>
  <si>
    <t>Annual Emission Reduction</t>
  </si>
  <si>
    <t>Tool Calc Sheet</t>
  </si>
  <si>
    <t>Metric</t>
  </si>
  <si>
    <t>Unit</t>
  </si>
  <si>
    <t>Notes</t>
  </si>
  <si>
    <t>Text</t>
  </si>
  <si>
    <t>Pull from front end</t>
  </si>
  <si>
    <t>Building Type</t>
  </si>
  <si>
    <t>Natural Gas Use Intensity</t>
  </si>
  <si>
    <t>Electricity Use Intensity</t>
  </si>
  <si>
    <t>Total Energy Use Intensity</t>
  </si>
  <si>
    <t>Existing Building Values</t>
  </si>
  <si>
    <t>Existing NG Use Default</t>
  </si>
  <si>
    <t>Existing NG Use User Input</t>
  </si>
  <si>
    <t>Natural Gas Use</t>
  </si>
  <si>
    <t>Existing Electricity Use Default</t>
  </si>
  <si>
    <t>Existing Electricity Use User Input</t>
  </si>
  <si>
    <t>Electricity Use</t>
  </si>
  <si>
    <t>Existing Total Energy Use</t>
  </si>
  <si>
    <t>Formula elec use kWh + NG use kWh</t>
  </si>
  <si>
    <t>NG Emission Rate</t>
  </si>
  <si>
    <t>kg CO2e/kWh</t>
  </si>
  <si>
    <t>Electricity Emission Rate</t>
  </si>
  <si>
    <t>Existing NG Emissions (kg CO2e)</t>
  </si>
  <si>
    <t>kg CO2e</t>
  </si>
  <si>
    <t>Existing Electricity Emissions (kg CO2e)</t>
  </si>
  <si>
    <t>Existing Total Emissions (kg CO2e)</t>
  </si>
  <si>
    <t>Existing NG Rate Default</t>
  </si>
  <si>
    <t>$/kWh</t>
  </si>
  <si>
    <t>Existing NG Rate User Input</t>
  </si>
  <si>
    <t>Existing Electricity Rate Default</t>
  </si>
  <si>
    <t>Existing Electricity Rate User Input</t>
  </si>
  <si>
    <t>Existing Electricity Cost</t>
  </si>
  <si>
    <t>$</t>
  </si>
  <si>
    <t>Exsiting Natural Gas Cost</t>
  </si>
  <si>
    <t>Existing Total Energy Costs</t>
  </si>
  <si>
    <t>%</t>
  </si>
  <si>
    <t>Mid Rise Office</t>
  </si>
  <si>
    <t>Water heaters (storage tank or tankless) </t>
  </si>
  <si>
    <t>Central boilers serving dedicated outdoor air units and hot water radiators</t>
  </si>
  <si>
    <t>Central boilers  </t>
  </si>
  <si>
    <t>Gas ranges, cooktops, ovens </t>
  </si>
  <si>
    <t>Big Box Store</t>
  </si>
  <si>
    <t>Strip Mall</t>
  </si>
  <si>
    <t>Central domestic boiler</t>
  </si>
  <si>
    <t>Gas clothes dryers </t>
  </si>
  <si>
    <t>Condominium</t>
  </si>
  <si>
    <t>Central domestic boiler with auxillary storage tanks</t>
  </si>
  <si>
    <t>Central boiler serving fan coil units</t>
  </si>
  <si>
    <t>Low Rise Rental Apartment</t>
  </si>
  <si>
    <t>Single Family Home Attached</t>
  </si>
  <si>
    <t>Central furnace</t>
  </si>
  <si>
    <t>Single Family Home Detached</t>
  </si>
  <si>
    <t>Water heaters (storage tank)</t>
  </si>
  <si>
    <t>kWh / m2</t>
  </si>
  <si>
    <t>Low Rise Office</t>
  </si>
  <si>
    <t>Educational Facilities</t>
  </si>
  <si>
    <t>Formula - NG Use Default or User Input</t>
  </si>
  <si>
    <t>Formula - Elec Use Default or User Input</t>
  </si>
  <si>
    <t>Total EUI</t>
  </si>
  <si>
    <t>UpFront Cost</t>
  </si>
  <si>
    <r>
      <t>$/ft</t>
    </r>
    <r>
      <rPr>
        <vertAlign val="superscript"/>
        <sz val="11"/>
        <rFont val="Calibri"/>
        <family val="2"/>
        <scheme val="minor"/>
      </rPr>
      <t>2</t>
    </r>
  </si>
  <si>
    <t>COPs</t>
  </si>
  <si>
    <t>ASHRAE 90.1</t>
  </si>
  <si>
    <t>District heating/cooling systems</t>
  </si>
  <si>
    <t>System Type</t>
  </si>
  <si>
    <r>
      <t>Electricity consumption intensity values (g CO</t>
    </r>
    <r>
      <rPr>
        <b/>
        <sz val="5"/>
        <color rgb="FF333333"/>
        <rFont val="Arial"/>
        <family val="2"/>
      </rPr>
      <t>2</t>
    </r>
    <r>
      <rPr>
        <b/>
        <sz val="7"/>
        <color rgb="FF333333"/>
        <rFont val="Arial"/>
        <family val="2"/>
      </rPr>
      <t>e/kWh electricity consumed)</t>
    </r>
  </si>
  <si>
    <r>
      <t>CO</t>
    </r>
    <r>
      <rPr>
        <b/>
        <sz val="5"/>
        <color rgb="FF333333"/>
        <rFont val="Arial"/>
        <family val="2"/>
      </rPr>
      <t>2</t>
    </r>
    <r>
      <rPr>
        <b/>
        <sz val="7"/>
        <color rgb="FF333333"/>
        <rFont val="Arial"/>
        <family val="2"/>
      </rPr>
      <t> emission factors for natural gas (g CO</t>
    </r>
    <r>
      <rPr>
        <b/>
        <sz val="5"/>
        <color rgb="FF333333"/>
        <rFont val="Arial"/>
        <family val="2"/>
      </rPr>
      <t>2</t>
    </r>
    <r>
      <rPr>
        <b/>
        <sz val="7"/>
        <color rgb="FF333333"/>
        <rFont val="Arial"/>
        <family val="2"/>
      </rPr>
      <t>/m</t>
    </r>
    <r>
      <rPr>
        <b/>
        <sz val="5"/>
        <color rgb="FF333333"/>
        <rFont val="Arial"/>
        <family val="2"/>
      </rPr>
      <t>3</t>
    </r>
    <r>
      <rPr>
        <b/>
        <sz val="7"/>
        <color rgb="FF333333"/>
        <rFont val="Arial"/>
        <family val="2"/>
      </rPr>
      <t> natural gas) for 2025</t>
    </r>
  </si>
  <si>
    <r>
      <t>$/m</t>
    </r>
    <r>
      <rPr>
        <vertAlign val="superscript"/>
        <sz val="11"/>
        <color theme="1"/>
        <rFont val="Calibri"/>
        <family val="2"/>
        <scheme val="minor"/>
      </rPr>
      <t>3</t>
    </r>
  </si>
  <si>
    <t>Electricity Rate for Project</t>
  </si>
  <si>
    <t>NG Rate for Project</t>
  </si>
  <si>
    <t>Net Zero Building Retrofit Guides</t>
  </si>
  <si>
    <t>Baseline System</t>
  </si>
  <si>
    <t>NG Savings Upper Limit</t>
  </si>
  <si>
    <t>Electricity Savings Upper Limit</t>
  </si>
  <si>
    <t>GHGI Reduction</t>
  </si>
  <si>
    <t>(CO2e/ft2) </t>
  </si>
  <si>
    <t>Domestic Hot Water</t>
  </si>
  <si>
    <t>Heat pump and electric resistance water heaters</t>
  </si>
  <si>
    <t>1% to 4%</t>
  </si>
  <si>
    <t>1% to 10%</t>
  </si>
  <si>
    <t>Heating System</t>
  </si>
  <si>
    <t>District heating and cooling systems</t>
  </si>
  <si>
    <t>$1 to $10</t>
  </si>
  <si>
    <t>20% to 30%</t>
  </si>
  <si>
    <t>30%-75%</t>
  </si>
  <si>
    <t>Air source heat pumps</t>
  </si>
  <si>
    <t>Ground source heat pump</t>
  </si>
  <si>
    <t>1% to 5%</t>
  </si>
  <si>
    <t>1% to 15%</t>
  </si>
  <si>
    <t>$11 to $25</t>
  </si>
  <si>
    <t>21% to 30%</t>
  </si>
  <si>
    <t>Gas Appliances</t>
  </si>
  <si>
    <t>Gas ranges</t>
  </si>
  <si>
    <t>Electric and induction ranges</t>
  </si>
  <si>
    <t>10% to 15%</t>
  </si>
  <si>
    <t>Electric water heaters</t>
  </si>
  <si>
    <t>Gas fired rooftop unit with direct expansion cooling coil</t>
  </si>
  <si>
    <t>Rooftop air source heat pump with backup electric heat</t>
  </si>
  <si>
    <t>11% to 20%</t>
  </si>
  <si>
    <t>30% to 55%</t>
  </si>
  <si>
    <t>Packaged rooftop unit  with gas heating and direct expansion cooling and supplementary electric baseboard</t>
  </si>
  <si>
    <t>Rooftop air source heat pump with electric baseboard</t>
  </si>
  <si>
    <t>Gas fired packaged rooftop unit with direct expansion cooling coil and supplementary electric heat</t>
  </si>
  <si>
    <t>20% to 55%</t>
  </si>
  <si>
    <t>20% to 40%</t>
  </si>
  <si>
    <t xml:space="preserve">Ground source heat pump </t>
  </si>
  <si>
    <t>$1 to $5</t>
  </si>
  <si>
    <t>5% to 25%</t>
  </si>
  <si>
    <t>Heat pump electric dryers</t>
  </si>
  <si>
    <t>5% to 20%</t>
  </si>
  <si>
    <t>Central boiler and hydronic baseboard heating</t>
  </si>
  <si>
    <t>31% to 40%</t>
  </si>
  <si>
    <t>Up to 45%</t>
  </si>
  <si>
    <t xml:space="preserve">Gas Appliances </t>
  </si>
  <si>
    <t>Heat pump and electric dryers</t>
  </si>
  <si>
    <t>Up to 55%</t>
  </si>
  <si>
    <t>NG Use Intensity</t>
  </si>
  <si>
    <t>Type of retrofit option</t>
  </si>
  <si>
    <t>Option 1</t>
  </si>
  <si>
    <t>Option 2</t>
  </si>
  <si>
    <t>Option 3</t>
  </si>
  <si>
    <t>Ground Source Heat Pumps</t>
  </si>
  <si>
    <t>Considerations</t>
  </si>
  <si>
    <r>
      <rPr>
        <b/>
        <sz val="20"/>
        <color rgb="FF015A84"/>
        <rFont val="Avenir Next LT Pro"/>
        <family val="2"/>
      </rPr>
      <t xml:space="preserve">❸ </t>
    </r>
    <r>
      <rPr>
        <b/>
        <sz val="11"/>
        <color rgb="FF015A84"/>
        <rFont val="Avenir Next LT Pro"/>
        <family val="2"/>
      </rPr>
      <t xml:space="preserve"> Input your building energy data</t>
    </r>
  </si>
  <si>
    <t>System Type:</t>
  </si>
  <si>
    <t>Area:</t>
  </si>
  <si>
    <t>ft2</t>
  </si>
  <si>
    <r>
      <t>/m</t>
    </r>
    <r>
      <rPr>
        <vertAlign val="superscript"/>
        <sz val="11"/>
        <color theme="1"/>
        <rFont val="Avenir Next LT Pro"/>
        <family val="2"/>
      </rPr>
      <t>3</t>
    </r>
  </si>
  <si>
    <t>/kWh</t>
  </si>
  <si>
    <t>Existing Building EUI Database</t>
  </si>
  <si>
    <t>Cluster</t>
  </si>
  <si>
    <t>Fuel Energy (kWh/m²)</t>
  </si>
  <si>
    <t>Electric Energy (kWh/m²)</t>
  </si>
  <si>
    <t>TEUI
(kWh/ m²)</t>
  </si>
  <si>
    <t xml:space="preserve">Unit: </t>
  </si>
  <si>
    <t>Educational Facility</t>
  </si>
  <si>
    <t>Yes/No</t>
  </si>
  <si>
    <t xml:space="preserve"> Year</t>
  </si>
  <si>
    <t>Hold Period</t>
  </si>
  <si>
    <t>Retrofit List - Dynamic</t>
  </si>
  <si>
    <t>Yes</t>
  </si>
  <si>
    <t>No</t>
  </si>
  <si>
    <t>Total EUI - Lower</t>
  </si>
  <si>
    <t>Total - EUI - Upper</t>
  </si>
  <si>
    <t xml:space="preserve">GHGI Lower </t>
  </si>
  <si>
    <t>GHGI Upper</t>
  </si>
  <si>
    <t>GHGI Average</t>
  </si>
  <si>
    <t>Natural Gas (kwh/m2)</t>
  </si>
  <si>
    <t>Electricity  (kwh/m2)</t>
  </si>
  <si>
    <t>% NG - LOW</t>
  </si>
  <si>
    <t>% NG - HIGH</t>
  </si>
  <si>
    <t>%Elec - LOW</t>
  </si>
  <si>
    <t>%Elec - HIGH</t>
  </si>
  <si>
    <t>% DES Added - LOW</t>
  </si>
  <si>
    <t>% DES Added - HIGH</t>
  </si>
  <si>
    <t>% Elec Added - LOW</t>
  </si>
  <si>
    <t>% Elec Added - HIGH</t>
  </si>
  <si>
    <t>Natural Gas - EUI LOW</t>
  </si>
  <si>
    <t>Natural Gas - EUI HIGH</t>
  </si>
  <si>
    <t>Electricity - EUI LOW</t>
  </si>
  <si>
    <t>Electricity - EUI HIGH</t>
  </si>
  <si>
    <t>DES - EUI LOW</t>
  </si>
  <si>
    <t>DES - EUI HIGH</t>
  </si>
  <si>
    <t>Total EUI Reduction - LOW</t>
  </si>
  <si>
    <t>Total EUI Reduction - HIGH</t>
  </si>
  <si>
    <t>Domestic Hot Water - Heat Pump and Electric Resistance Water Heaters</t>
  </si>
  <si>
    <t>Gas Appliances - Electric and Induction Ranges</t>
  </si>
  <si>
    <t>Domestic Hot Water - Electric Water Heater</t>
  </si>
  <si>
    <t>Heating, Cooling, Ventilation Systems - Rooftop Air Source Heat Pump with Electric Baseboard</t>
  </si>
  <si>
    <t>Heating, Cooling, Ventilation Systems - District Energy System + Energy Recovery Ventilators</t>
  </si>
  <si>
    <t>Heating, Cooling, Ventilation Systems - Air Source Heat Pumps + Energy Recovery Ventilators</t>
  </si>
  <si>
    <t>Heating, Cooling, Ventilation Systems - Ground Source Heat Pumps + Energy Recovery Ventilators</t>
  </si>
  <si>
    <t>Gas Appliances - Electric and Induction Ranges &amp; Heat Pump Electric Dryers</t>
  </si>
  <si>
    <t>Domestic Hot Water - Heat pump and electric resistance water heaters</t>
  </si>
  <si>
    <t>m3</t>
  </si>
  <si>
    <t>Key</t>
  </si>
  <si>
    <t>Total Energy Savings (%) - LOW</t>
  </si>
  <si>
    <t>Total Energy Savings (%) - HIGH</t>
  </si>
  <si>
    <t>Energy Use Reduction</t>
  </si>
  <si>
    <t>Heating &amp; Cooling Systems - District Energy System</t>
  </si>
  <si>
    <t>Heating &amp; Cooling Systems - Air Source Heat Pumps</t>
  </si>
  <si>
    <t>Heating &amp; Cooling Systems - Ground Source Heat Pumps</t>
  </si>
  <si>
    <t>Heating &amp; Cooling System - Rooftop Air Source Heat Pumps with Backup Electric Heat</t>
  </si>
  <si>
    <t>Air Source Heat Pumps</t>
  </si>
  <si>
    <t>Heat Pump Water Heaters</t>
  </si>
  <si>
    <t>Electric and Induction Ranges</t>
  </si>
  <si>
    <t>Electric and Induction Ranges &amp; Heat Pump Electric Dryers</t>
  </si>
  <si>
    <t>Electric Water Heaters</t>
  </si>
  <si>
    <t>Natural Gas Use - LOW</t>
  </si>
  <si>
    <t>Natural Gas Use - HIGH</t>
  </si>
  <si>
    <t>Electricity Use - LOW</t>
  </si>
  <si>
    <t>Electricity Use - HIGH</t>
  </si>
  <si>
    <t>Technology Companion Guide</t>
  </si>
  <si>
    <t>Operational Costs - LOW</t>
  </si>
  <si>
    <t>Operational Costs - HIGH</t>
  </si>
  <si>
    <t>Operational Costs Savings - LOW</t>
  </si>
  <si>
    <t>Operational Costs Savings - HIGH</t>
  </si>
  <si>
    <t>Absolute</t>
  </si>
  <si>
    <t>% Savings</t>
  </si>
  <si>
    <t>Rounding Table</t>
  </si>
  <si>
    <t>GHG Emissions - LOW</t>
  </si>
  <si>
    <t>GHG Emissions - HIGH</t>
  </si>
  <si>
    <t>If energy rates are not known, the following default values will be used:</t>
  </si>
  <si>
    <t>Default energy use:</t>
  </si>
  <si>
    <t>Equipment # 2</t>
  </si>
  <si>
    <t>Equipment # 3</t>
  </si>
  <si>
    <t>Default rate:</t>
  </si>
  <si>
    <r>
      <t>m</t>
    </r>
    <r>
      <rPr>
        <vertAlign val="superscript"/>
        <sz val="11"/>
        <color theme="1"/>
        <rFont val="Avenir Next LT Pro"/>
        <family val="2"/>
      </rPr>
      <t>3</t>
    </r>
    <r>
      <rPr>
        <sz val="11"/>
        <color theme="1"/>
        <rFont val="Avenir Next LT Pro"/>
        <family val="2"/>
      </rPr>
      <t>/year</t>
    </r>
  </si>
  <si>
    <t>kWh/year</t>
  </si>
  <si>
    <t>Utility Cost Reduction</t>
  </si>
  <si>
    <t>"Ground Source Heat Pumps"</t>
  </si>
  <si>
    <t>"Air Source Heat Pumps For Homes and Small Buildings"</t>
  </si>
  <si>
    <t>"Air Source Heat Pumps For Large Buildings"</t>
  </si>
  <si>
    <t>"Smart Homes and Appliances"</t>
  </si>
  <si>
    <t>Technology Companion Guide - Large Buildings</t>
  </si>
  <si>
    <t>"Domestic Hot Water Systems"</t>
  </si>
  <si>
    <t>Total Energy Use Savings - LOW</t>
  </si>
  <si>
    <t>Total Energy Use Savings- HIGH</t>
  </si>
  <si>
    <t>GHG Emissions Reductions</t>
  </si>
  <si>
    <r>
      <rPr>
        <b/>
        <sz val="20"/>
        <color rgb="FF015A84"/>
        <rFont val="Avenir Next LT Pro"/>
        <family val="2"/>
      </rPr>
      <t>❶</t>
    </r>
    <r>
      <rPr>
        <b/>
        <sz val="11"/>
        <color rgb="FF015A84"/>
        <rFont val="Avenir Next LT Pro"/>
        <family val="2"/>
      </rPr>
      <t xml:space="preserve"> Input your building characteristics</t>
    </r>
  </si>
  <si>
    <t>Helper</t>
  </si>
  <si>
    <t>Retrofit</t>
  </si>
  <si>
    <t>Technology Companion Guide - Small Buildings</t>
  </si>
  <si>
    <t>Image - Small Buildings</t>
  </si>
  <si>
    <t>Image - Large Buildings</t>
  </si>
  <si>
    <t>Considerations - Small Buildings</t>
  </si>
  <si>
    <t>Considerations - Large Buildings</t>
  </si>
  <si>
    <t xml:space="preserve">- Requires land for boreholes
- Effective during cold temperatures
- High upfront cost, lower operational costs
</t>
  </si>
  <si>
    <t>- Requires proximity to district energy system</t>
  </si>
  <si>
    <t>- High upfront cost, lower operational costs
- Requires area for air circulation
- Ideally located in warmer spaces</t>
  </si>
  <si>
    <t>Fuel Switching Options</t>
  </si>
  <si>
    <t>- Induction ranges require compatible pots and pans
- Heat Pump Dryers have higher efficiency over standard electric ones
- May require increased electrical capacity</t>
  </si>
  <si>
    <t>- Easy to install
- Compact units ideal for small spaces
- May require increased electrical capacity</t>
  </si>
  <si>
    <t>- Require compatible pots and pans
- Reduced burn risk
- Higher efficiency over standard electric ranges
- May require increased electrical demand capacity</t>
  </si>
  <si>
    <t>- Requires rooftop area
- More effective when paired with envelope efficiency retrofits
- May require backup system in cold temperatures
- May require increased electrical demand capacity</t>
  </si>
  <si>
    <t>District Energy Use - LOW</t>
  </si>
  <si>
    <t>District Energy Use - HIGH</t>
  </si>
  <si>
    <t>Existing District Energy Rate Default</t>
  </si>
  <si>
    <t>Existing District Energy Rate User Input</t>
  </si>
  <si>
    <t>District Energy Rate for Project</t>
  </si>
  <si>
    <t>Exsiting District Energy Cost</t>
  </si>
  <si>
    <t>Existing District Energy Emissions (kg CO2e)</t>
  </si>
  <si>
    <t>District Emission Rate</t>
  </si>
  <si>
    <t>Existing Districy Use Default</t>
  </si>
  <si>
    <t>Existing District Use User Input</t>
  </si>
  <si>
    <t>District Use</t>
  </si>
  <si>
    <t>Connect to DES?</t>
  </si>
  <si>
    <t>Y/N</t>
  </si>
  <si>
    <t>Connected to district heating system?</t>
  </si>
  <si>
    <t>GHG Emissions Savings - LOW</t>
  </si>
  <si>
    <t>GHG Emissions Savings - HIGH</t>
  </si>
  <si>
    <t>"Low Carbon District Energy"</t>
  </si>
  <si>
    <t>ft²</t>
  </si>
  <si>
    <t>Building Vintage (Selected in Phase 2)</t>
  </si>
  <si>
    <t>20-storey structure, 1975 construction</t>
  </si>
  <si>
    <t>2-storey structure, 1965 construction</t>
  </si>
  <si>
    <t>1-storey structure, 1980 construction, &gt;100,000 ft²</t>
  </si>
  <si>
    <t>2-storey structure, 1970 construction</t>
  </si>
  <si>
    <t>1-storey structure, 1950 construction, &lt;100,000 ft²</t>
  </si>
  <si>
    <t>3-storey structure, 1990 construction</t>
  </si>
  <si>
    <t>2-storey structure, 1910 construction</t>
  </si>
  <si>
    <t>4-storey structure, 1960 construction</t>
  </si>
  <si>
    <t>13-storey structure, 2000 construction</t>
  </si>
  <si>
    <t>20-storey structure, 1980 construction</t>
  </si>
  <si>
    <t>Vintage</t>
  </si>
  <si>
    <t>Building Type Assumption:</t>
  </si>
  <si>
    <r>
      <rPr>
        <b/>
        <sz val="20"/>
        <color rgb="FF015A84"/>
        <rFont val="Avenir Next LT Pro"/>
        <family val="2"/>
      </rPr>
      <t>❷</t>
    </r>
    <r>
      <rPr>
        <b/>
        <sz val="11"/>
        <color rgb="FF015A84"/>
        <rFont val="Avenir Next LT Pro"/>
        <family val="2"/>
      </rPr>
      <t xml:space="preserve"> Select building system to analyze</t>
    </r>
  </si>
  <si>
    <t>*Ensure the building type is entered before selecting the system type.</t>
  </si>
  <si>
    <t>Enter your building energy use  (if known).
If your energy use is not known, the following default values will be used based on the building characteristics you inputted:</t>
  </si>
  <si>
    <t>The following technology option(s) can be implemented in your building or home to enable you to fuel switch from fossil fuels, such as natural gas. Review and compare the provided option(s) to determine which works best for your building. If only one option is provided, assess whether it is suitable for your building.</t>
  </si>
  <si>
    <t>m2</t>
  </si>
  <si>
    <t>- More effective when paired with envelope efficiency retrofits
- May require backup system in cold temperatures
- May require increased electrical demand capacity</t>
  </si>
  <si>
    <t>kWh/m2</t>
  </si>
  <si>
    <t xml:space="preserve">Building Types with Gas Appliances </t>
  </si>
  <si>
    <t>kg CO2e/m3</t>
  </si>
  <si>
    <t>Formula - Converts to kWh</t>
  </si>
  <si>
    <t>Low Carbon District Emission Rate</t>
  </si>
  <si>
    <t>kwh</t>
  </si>
  <si>
    <t>text</t>
  </si>
  <si>
    <t>Constant Value</t>
  </si>
  <si>
    <t>Constant Value - District Steam Rate</t>
  </si>
  <si>
    <t>Formula - Sum of emissions</t>
  </si>
  <si>
    <t>Formula - energy use * energy cost</t>
  </si>
  <si>
    <t>Formula - energy Use * Emission Rate</t>
  </si>
  <si>
    <t>Formula - Converts to m3</t>
  </si>
  <si>
    <t>Formula - area * energy use intensity</t>
  </si>
  <si>
    <t>Formula - DES Use Default or User Input</t>
  </si>
  <si>
    <t>Formula - Converts to m2</t>
  </si>
  <si>
    <t>Pull from Existing Building EUI Database</t>
  </si>
  <si>
    <t>Helper Column</t>
  </si>
  <si>
    <t>Source: City of Toronto Net Zero Existing Buildings Strategy - Impact Modeling &amp; Assessment Technical Appendix May 2021</t>
  </si>
  <si>
    <t>Low Carbon District Energy System</t>
  </si>
  <si>
    <t>Constant Value - Assumed Low Carbon District Energy Rate (BC DES Calculator Tier 2) https://www2.gov.bc.ca/assets/gov/environment/climate-change/cng/calculators/des_calculator.xlsx</t>
  </si>
  <si>
    <t>Building Type:</t>
  </si>
  <si>
    <t>Natural Gas Use:</t>
  </si>
  <si>
    <t>Electricity Use:</t>
  </si>
  <si>
    <t>District Heating Rate:</t>
  </si>
  <si>
    <t>Natural Gas Rate:</t>
  </si>
  <si>
    <t>Electricity Rate:</t>
  </si>
  <si>
    <t>Fuel switching is the most important step for reducing operational emissions, and involves replacing natural gas or fossil fuel-based systems with electric alternatives. This tool can be used to identify technology options to switch your building systems to electric sources.</t>
  </si>
  <si>
    <r>
      <rPr>
        <b/>
        <sz val="11"/>
        <color theme="1"/>
        <rFont val="Avenir Next LT Pro"/>
        <family val="2"/>
      </rPr>
      <t>Instructions</t>
    </r>
    <r>
      <rPr>
        <sz val="11"/>
        <color theme="1"/>
        <rFont val="Avenir Next LT Pro"/>
        <family val="2"/>
      </rPr>
      <t xml:space="preserve"> - To begin, input the characteristics of your building. Then select a building system to analyze. Lastly, if known, input the building's current energy data.</t>
    </r>
  </si>
  <si>
    <t>ekWh/year</t>
  </si>
  <si>
    <t>/ekWh</t>
  </si>
  <si>
    <t>Large</t>
  </si>
  <si>
    <t>Small</t>
  </si>
  <si>
    <t>DHW_Electric_</t>
  </si>
  <si>
    <t>DHW_HeatPump_</t>
  </si>
  <si>
    <t>Name</t>
  </si>
  <si>
    <t>Image</t>
  </si>
  <si>
    <t>Empty</t>
  </si>
  <si>
    <t>Gas_Appliances_</t>
  </si>
  <si>
    <t>Heating_ASHP_</t>
  </si>
  <si>
    <t>Gas_Ranges_</t>
  </si>
  <si>
    <t>Heating_District_</t>
  </si>
  <si>
    <t>Heating_GSHP_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</si>
</sst>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0.000"/>
    <numFmt numFmtId="165" formatCode="0.0000"/>
    <numFmt numFmtId="166" formatCode="_-* #,##0_-;\-* #,##0_-;_-* &quot;-&quot;??_-;_-@_-"/>
    <numFmt numFmtId="167" formatCode="_-&quot;$&quot;* #,##0_-;\-&quot;$&quot;* #,##0_-;_-&quot;$&quot;* &quot;-&quot;??_-;_-@_-"/>
    <numFmt numFmtId="168" formatCode="#,##0\ &quot;ekWh/yr&quot;"/>
    <numFmt numFmtId="169" formatCode="_-* #,##0.000_-;\-* #,##0.000_-;_-* &quot;-&quot;??_-;_-@_-"/>
    <numFmt numFmtId="170" formatCode="_-* #,##0.00000_-;\-* #,##0.00000_-;_-* &quot;-&quot;??_-;_-@_-"/>
  </numFmts>
  <fonts count="51" x14ac:knownFonts="1">
    <font>
      <sz val="11"/>
      <color theme="1"/>
      <name val="Calibri"/>
      <family val="2"/>
      <scheme val="minor"/>
    </font>
    <font>
      <sz val="11"/>
      <color theme="1"/>
      <name val="Arial"/>
      <family val="2"/>
    </font>
    <font>
      <sz val="11"/>
      <color theme="1"/>
      <name val="Arial"/>
      <family val="2"/>
    </font>
    <font>
      <sz val="11"/>
      <color theme="1"/>
      <name val="Arial"/>
      <family val="2"/>
    </font>
    <font>
      <b/>
      <sz val="11"/>
      <color theme="1"/>
      <name val="Calibri"/>
      <family val="2"/>
      <scheme val="minor"/>
    </font>
    <font>
      <i/>
      <sz val="11"/>
      <color theme="1"/>
      <name val="Calibri"/>
      <family val="2"/>
      <scheme val="minor"/>
    </font>
    <font>
      <i/>
      <sz val="11"/>
      <color theme="5"/>
      <name val="Calibri"/>
      <family val="2"/>
      <scheme val="minor"/>
    </font>
    <font>
      <sz val="11"/>
      <name val="Calibri"/>
      <family val="2"/>
      <scheme val="minor"/>
    </font>
    <font>
      <i/>
      <sz val="11"/>
      <color theme="9"/>
      <name val="Calibri"/>
      <family val="2"/>
      <scheme val="minor"/>
    </font>
    <font>
      <i/>
      <sz val="11"/>
      <color theme="8"/>
      <name val="Calibri"/>
      <family val="2"/>
      <scheme val="minor"/>
    </font>
    <font>
      <sz val="9"/>
      <color theme="1"/>
      <name val="Calibri"/>
      <family val="2"/>
      <scheme val="minor"/>
    </font>
    <font>
      <sz val="11"/>
      <color theme="1"/>
      <name val="Calibri"/>
      <family val="2"/>
      <scheme val="minor"/>
    </font>
    <font>
      <vertAlign val="superscript"/>
      <sz val="11"/>
      <color theme="1"/>
      <name val="Calibri"/>
      <family val="2"/>
      <scheme val="minor"/>
    </font>
    <font>
      <sz val="8"/>
      <name val="Calibri"/>
      <family val="2"/>
      <scheme val="minor"/>
    </font>
    <font>
      <b/>
      <sz val="11"/>
      <name val="Calibri"/>
      <family val="2"/>
      <scheme val="minor"/>
    </font>
    <font>
      <vertAlign val="superscript"/>
      <sz val="11"/>
      <name val="Calibri"/>
      <family val="2"/>
      <scheme val="minor"/>
    </font>
    <font>
      <b/>
      <sz val="7"/>
      <color rgb="FF333333"/>
      <name val="Arial"/>
      <family val="2"/>
    </font>
    <font>
      <b/>
      <sz val="5"/>
      <color rgb="FF333333"/>
      <name val="Arial"/>
      <family val="2"/>
    </font>
    <font>
      <sz val="11"/>
      <color theme="1"/>
      <name val="Arial"/>
      <family val="2"/>
    </font>
    <font>
      <sz val="11"/>
      <color theme="1"/>
      <name val="Arial"/>
      <family val="2"/>
    </font>
    <font>
      <b/>
      <sz val="26"/>
      <color rgb="FF1E8199"/>
      <name val="Avenir Next LT Pro"/>
      <family val="2"/>
    </font>
    <font>
      <b/>
      <sz val="36"/>
      <color rgb="FF015A84"/>
      <name val="Avenir Next LT Pro"/>
      <family val="2"/>
    </font>
    <font>
      <u/>
      <sz val="11"/>
      <color theme="10"/>
      <name val="Calibri"/>
      <family val="2"/>
      <scheme val="minor"/>
    </font>
    <font>
      <b/>
      <u/>
      <sz val="11"/>
      <color rgb="FF1E8199"/>
      <name val="Avenir Next LT Pro"/>
      <family val="2"/>
    </font>
    <font>
      <sz val="11"/>
      <color rgb="FF242424"/>
      <name val="Calibri"/>
      <family val="2"/>
      <scheme val="minor"/>
    </font>
    <font>
      <b/>
      <sz val="11"/>
      <color rgb="FF242424"/>
      <name val="Calibri"/>
      <family val="2"/>
      <scheme val="minor"/>
    </font>
    <font>
      <sz val="11"/>
      <color theme="1"/>
      <name val="Avenir Next LT Pro"/>
      <family val="2"/>
    </font>
    <font>
      <b/>
      <sz val="16"/>
      <color rgb="FF006699"/>
      <name val="Avenir Next LT Pro"/>
      <family val="2"/>
    </font>
    <font>
      <b/>
      <sz val="11"/>
      <color rgb="FF006699"/>
      <name val="Avenir Next LT Pro"/>
      <family val="2"/>
    </font>
    <font>
      <sz val="10"/>
      <color theme="1"/>
      <name val="Avenir Next LT Pro"/>
      <family val="2"/>
    </font>
    <font>
      <b/>
      <i/>
      <sz val="11"/>
      <color theme="1"/>
      <name val="Avenir Next LT Pro"/>
      <family val="2"/>
    </font>
    <font>
      <sz val="13"/>
      <color theme="1"/>
      <name val="Avenir Next LT Pro"/>
      <family val="2"/>
    </font>
    <font>
      <b/>
      <sz val="11"/>
      <color theme="8"/>
      <name val="Avenir Next LT Pro"/>
      <family val="2"/>
    </font>
    <font>
      <b/>
      <sz val="11"/>
      <color theme="1"/>
      <name val="Avenir Next LT Pro"/>
      <family val="2"/>
    </font>
    <font>
      <vertAlign val="superscript"/>
      <sz val="11"/>
      <color theme="1"/>
      <name val="Avenir Next LT Pro"/>
      <family val="2"/>
    </font>
    <font>
      <b/>
      <sz val="11"/>
      <color rgb="FF015A84"/>
      <name val="Avenir Next LT Pro"/>
      <family val="2"/>
    </font>
    <font>
      <b/>
      <sz val="20"/>
      <color rgb="FF015A84"/>
      <name val="Avenir Next LT Pro"/>
      <family val="2"/>
    </font>
    <font>
      <b/>
      <sz val="16"/>
      <color rgb="FF015A84"/>
      <name val="Avenir Next LT Pro"/>
      <family val="2"/>
    </font>
    <font>
      <b/>
      <sz val="14"/>
      <color theme="1"/>
      <name val="Calibri"/>
      <family val="2"/>
      <scheme val="minor"/>
    </font>
    <font>
      <b/>
      <sz val="11"/>
      <color theme="0"/>
      <name val="Calibri"/>
      <family val="2"/>
      <scheme val="minor"/>
    </font>
    <font>
      <sz val="10"/>
      <color rgb="FF000000"/>
      <name val="Times New Roman"/>
      <family val="1"/>
    </font>
    <font>
      <i/>
      <sz val="11"/>
      <color theme="1"/>
      <name val="Avenir Next LT Pro"/>
      <family val="2"/>
    </font>
    <font>
      <b/>
      <sz val="12"/>
      <color theme="1"/>
      <name val="Avenir Next LT Pro"/>
      <family val="2"/>
    </font>
    <font>
      <b/>
      <sz val="14"/>
      <color rgb="FF015A84"/>
      <name val="Avenir Next LT Pro"/>
      <family val="2"/>
    </font>
    <font>
      <sz val="11"/>
      <name val="Avenir Next LT Pro"/>
      <family val="2"/>
    </font>
    <font>
      <sz val="10"/>
      <color theme="1" tint="0.34998626667073579"/>
      <name val="Avenir Next LT Pro"/>
      <family val="2"/>
    </font>
    <font>
      <i/>
      <sz val="11"/>
      <color rgb="FFC00000"/>
      <name val="Calibri"/>
      <family val="2"/>
      <scheme val="minor"/>
    </font>
    <font>
      <i/>
      <sz val="11"/>
      <color theme="0" tint="-0.499984740745262"/>
      <name val="Calibri"/>
      <family val="2"/>
      <scheme val="minor"/>
    </font>
    <font>
      <sz val="11"/>
      <color theme="0" tint="-0.499984740745262"/>
      <name val="Calibri"/>
      <family val="2"/>
      <scheme val="minor"/>
    </font>
    <font>
      <sz val="9"/>
      <color indexed="81"/>
      <name val="Tahoma"/>
      <family val="2"/>
    </font>
    <font>
      <b/>
      <sz val="9"/>
      <color indexed="81"/>
      <name val="Tahoma"/>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15A84"/>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1"/>
        <bgColor indexed="64"/>
      </patternFill>
    </fill>
    <fill>
      <patternFill patternType="solid">
        <fgColor theme="9" tint="0.79998168889431442"/>
        <bgColor indexed="64"/>
      </patternFill>
    </fill>
    <fill>
      <patternFill patternType="solid">
        <fgColor rgb="FFF0F8FB"/>
        <bgColor indexed="64"/>
      </patternFill>
    </fill>
    <fill>
      <patternFill patternType="solid">
        <fgColor theme="4" tint="0.7999816888943144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3743705557422"/>
      </left>
      <right style="thin">
        <color theme="0" tint="-0.14996795556505021"/>
      </right>
      <top/>
      <bottom style="thin">
        <color theme="0" tint="-0.14993743705557422"/>
      </bottom>
      <diagonal/>
    </border>
    <border>
      <left style="thin">
        <color theme="0" tint="-0.14993743705557422"/>
      </left>
      <right style="thin">
        <color theme="0" tint="-0.14996795556505021"/>
      </right>
      <top style="thin">
        <color theme="0" tint="-0.14993743705557422"/>
      </top>
      <bottom/>
      <diagonal/>
    </border>
    <border>
      <left style="thin">
        <color theme="0" tint="-0.14993743705557422"/>
      </left>
      <right style="thin">
        <color theme="0" tint="-0.14996795556505021"/>
      </right>
      <top/>
      <bottom/>
      <diagonal/>
    </border>
    <border>
      <left style="thin">
        <color theme="0" tint="-0.14993743705557422"/>
      </left>
      <right style="thin">
        <color theme="0" tint="-0.14996795556505021"/>
      </right>
      <top/>
      <bottom style="thin">
        <color theme="0" tint="-0.1499679555650502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tint="-0.1498764000366222"/>
      </left>
      <right/>
      <top style="thin">
        <color theme="0" tint="-0.14990691854609822"/>
      </top>
      <bottom/>
      <diagonal/>
    </border>
    <border>
      <left style="thin">
        <color theme="0" tint="-0.1498764000366222"/>
      </left>
      <right/>
      <top/>
      <bottom/>
      <diagonal/>
    </border>
    <border>
      <left style="thin">
        <color theme="0" tint="-0.1498764000366222"/>
      </left>
      <right style="thin">
        <color theme="0" tint="-0.1498458815271462"/>
      </right>
      <top style="thin">
        <color theme="0" tint="-0.14990691854609822"/>
      </top>
      <bottom/>
      <diagonal/>
    </border>
    <border>
      <left style="thin">
        <color theme="0" tint="-0.1498764000366222"/>
      </left>
      <right style="thin">
        <color theme="0" tint="-0.1498458815271462"/>
      </right>
      <top/>
      <bottom/>
      <diagonal/>
    </border>
    <border>
      <left style="thin">
        <color theme="0" tint="-0.1498764000366222"/>
      </left>
      <right style="thin">
        <color theme="0" tint="-0.1498458815271462"/>
      </right>
      <top/>
      <bottom style="thin">
        <color theme="0" tint="-0.14993743705557422"/>
      </bottom>
      <diagonal/>
    </border>
    <border>
      <left/>
      <right style="thin">
        <color theme="0" tint="-0.1498764000366222"/>
      </right>
      <top style="thin">
        <color theme="0" tint="-0.14990691854609822"/>
      </top>
      <bottom/>
      <diagonal/>
    </border>
    <border>
      <left/>
      <right style="thin">
        <color theme="0" tint="-0.1498764000366222"/>
      </right>
      <top/>
      <bottom/>
      <diagonal/>
    </border>
    <border>
      <left/>
      <right style="thin">
        <color theme="0" tint="-0.1498764000366222"/>
      </right>
      <top/>
      <bottom style="thin">
        <color theme="0" tint="-0.14999847407452621"/>
      </bottom>
      <diagonal/>
    </border>
    <border>
      <left style="thin">
        <color theme="0" tint="-0.1498458815271462"/>
      </left>
      <right style="thin">
        <color theme="0" tint="-0.1498764000366222"/>
      </right>
      <top style="thin">
        <color theme="0" tint="-0.14981536301767021"/>
      </top>
      <bottom/>
      <diagonal/>
    </border>
    <border>
      <left/>
      <right style="thin">
        <color theme="0" tint="-0.1498764000366222"/>
      </right>
      <top/>
      <bottom style="thin">
        <color theme="0" tint="-0.1498764000366222"/>
      </bottom>
      <diagonal/>
    </border>
    <border>
      <left/>
      <right style="thin">
        <color theme="0" tint="-0.1498764000366222"/>
      </right>
      <top/>
      <bottom style="thin">
        <color theme="0" tint="-0.14990691854609822"/>
      </bottom>
      <diagonal/>
    </border>
    <border>
      <left style="thin">
        <color theme="0" tint="-0.14996795556505021"/>
      </left>
      <right style="thin">
        <color theme="0" tint="-0.1498764000366222"/>
      </right>
      <top style="thin">
        <color theme="0" tint="-0.14999847407452621"/>
      </top>
      <bottom/>
      <diagonal/>
    </border>
    <border>
      <left style="thin">
        <color theme="0" tint="-0.14996795556505021"/>
      </left>
      <right style="thin">
        <color theme="0" tint="-0.1498764000366222"/>
      </right>
      <top/>
      <bottom/>
      <diagonal/>
    </border>
    <border>
      <left style="thin">
        <color theme="0" tint="-0.14996795556505021"/>
      </left>
      <right style="thin">
        <color theme="0" tint="-0.1498764000366222"/>
      </right>
      <top/>
      <bottom style="thin">
        <color theme="0" tint="-0.14999847407452621"/>
      </bottom>
      <diagonal/>
    </border>
    <border>
      <left style="thin">
        <color theme="0" tint="-0.1498764000366222"/>
      </left>
      <right style="thin">
        <color theme="0" tint="-0.1498764000366222"/>
      </right>
      <top style="thin">
        <color theme="0" tint="-0.1498764000366222"/>
      </top>
      <bottom/>
      <diagonal/>
    </border>
    <border>
      <left style="thin">
        <color theme="0" tint="-0.1498764000366222"/>
      </left>
      <right style="thin">
        <color theme="0" tint="-0.1498764000366222"/>
      </right>
      <top/>
      <bottom/>
      <diagonal/>
    </border>
    <border>
      <left style="thin">
        <color theme="0" tint="-0.1498764000366222"/>
      </left>
      <right style="thin">
        <color theme="0" tint="-0.1498764000366222"/>
      </right>
      <top/>
      <bottom style="thin">
        <color theme="0" tint="-0.1498764000366222"/>
      </bottom>
      <diagonal/>
    </border>
    <border>
      <left style="thin">
        <color theme="0" tint="-0.14993743705557422"/>
      </left>
      <right style="thin">
        <color theme="0" tint="-0.14996795556505021"/>
      </right>
      <top/>
      <bottom style="thin">
        <color theme="0" tint="-0.1498764000366222"/>
      </bottom>
      <diagonal/>
    </border>
    <border>
      <left style="thin">
        <color theme="0" tint="-0.1498764000366222"/>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bottom style="thin">
        <color theme="0" tint="-0.14990691854609822"/>
      </bottom>
      <diagonal/>
    </border>
    <border>
      <left style="thin">
        <color theme="0" tint="-0.1498764000366222"/>
      </left>
      <right style="thin">
        <color theme="0" tint="-0.1498458815271462"/>
      </right>
      <top/>
      <bottom style="thin">
        <color theme="0" tint="-0.1498764000366222"/>
      </bottom>
      <diagonal/>
    </border>
    <border>
      <left style="thin">
        <color theme="0" tint="-0.14993743705557422"/>
      </left>
      <right style="thin">
        <color theme="0" tint="-0.14996795556505021"/>
      </right>
      <top style="thin">
        <color theme="0" tint="-0.1498764000366222"/>
      </top>
      <bottom/>
      <diagonal/>
    </border>
    <border>
      <left style="thin">
        <color theme="0" tint="-0.14993743705557422"/>
      </left>
      <right style="thin">
        <color theme="0" tint="-0.14996795556505021"/>
      </right>
      <top/>
      <bottom style="thin">
        <color theme="0" tint="-0.14990691854609822"/>
      </bottom>
      <diagonal/>
    </border>
    <border>
      <left style="thin">
        <color theme="0" tint="-0.14990691854609822"/>
      </left>
      <right style="thin">
        <color theme="0" tint="-0.1498764000366222"/>
      </right>
      <top style="thin">
        <color theme="0" tint="-0.14990691854609822"/>
      </top>
      <bottom/>
      <diagonal/>
    </border>
    <border>
      <left style="thin">
        <color theme="0" tint="-0.14990691854609822"/>
      </left>
      <right style="thin">
        <color theme="0" tint="-0.1498764000366222"/>
      </right>
      <top/>
      <bottom/>
      <diagonal/>
    </border>
    <border>
      <left style="thin">
        <color theme="0" tint="-0.14990691854609822"/>
      </left>
      <right style="thin">
        <color theme="0" tint="-0.1498764000366222"/>
      </right>
      <top/>
      <bottom style="thin">
        <color theme="0" tint="-0.14990691854609822"/>
      </bottom>
      <diagonal/>
    </border>
    <border>
      <left style="thin">
        <color theme="0" tint="-0.1498764000366222"/>
      </left>
      <right style="thin">
        <color theme="0" tint="-0.1498764000366222"/>
      </right>
      <top style="thin">
        <color theme="0" tint="-0.14999847407452621"/>
      </top>
      <bottom/>
      <diagonal/>
    </border>
    <border>
      <left style="thin">
        <color rgb="FFF0F8FB"/>
      </left>
      <right style="thin">
        <color rgb="FFF0F8FB"/>
      </right>
      <top style="thin">
        <color rgb="FFF0F8FB"/>
      </top>
      <bottom style="thin">
        <color rgb="FFF0F8FB"/>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s>
  <cellStyleXfs count="8">
    <xf numFmtId="0" fontId="0" fillId="0" borderId="0"/>
    <xf numFmtId="9" fontId="11" fillId="0" borderId="0" applyFont="0" applyFill="0" applyBorder="0" applyAlignment="0" applyProtection="0"/>
    <xf numFmtId="0" fontId="18" fillId="0" borderId="0"/>
    <xf numFmtId="0" fontId="22"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40" fillId="0" borderId="0"/>
    <xf numFmtId="0" fontId="3" fillId="0" borderId="0"/>
  </cellStyleXfs>
  <cellXfs count="263">
    <xf numFmtId="0" fontId="0" fillId="0" borderId="0" xfId="0"/>
    <xf numFmtId="0" fontId="4" fillId="0" borderId="0" xfId="0" applyFont="1"/>
    <xf numFmtId="0" fontId="0" fillId="0" borderId="1" xfId="0" applyBorder="1"/>
    <xf numFmtId="0" fontId="4" fillId="0" borderId="0" xfId="0" applyFont="1" applyAlignment="1">
      <alignment horizontal="right"/>
    </xf>
    <xf numFmtId="0" fontId="5" fillId="0" borderId="0" xfId="0" applyFont="1"/>
    <xf numFmtId="0" fontId="4" fillId="0" borderId="0" xfId="0" applyFont="1" applyAlignment="1">
      <alignment horizontal="center"/>
    </xf>
    <xf numFmtId="0" fontId="0" fillId="0" borderId="0" xfId="0" applyAlignment="1">
      <alignment horizontal="center"/>
    </xf>
    <xf numFmtId="0" fontId="4" fillId="0" borderId="0" xfId="0" applyFont="1" applyAlignment="1">
      <alignment horizontal="left"/>
    </xf>
    <xf numFmtId="0" fontId="8" fillId="0" borderId="0" xfId="0" applyFont="1"/>
    <xf numFmtId="0" fontId="9" fillId="0" borderId="0" xfId="0" applyFont="1"/>
    <xf numFmtId="0" fontId="10" fillId="0" borderId="0" xfId="0" applyFont="1"/>
    <xf numFmtId="0" fontId="0" fillId="0" borderId="1" xfId="0" applyBorder="1" applyAlignment="1">
      <alignment vertical="center"/>
    </xf>
    <xf numFmtId="0" fontId="7" fillId="0" borderId="1" xfId="0" applyFont="1" applyBorder="1" applyAlignment="1">
      <alignment horizontal="left" vertical="center"/>
    </xf>
    <xf numFmtId="0" fontId="0" fillId="0" borderId="0" xfId="0" applyAlignment="1">
      <alignment vertical="top" wrapText="1"/>
    </xf>
    <xf numFmtId="0" fontId="7" fillId="0" borderId="1" xfId="0" applyFont="1" applyBorder="1" applyAlignment="1">
      <alignment horizontal="left" vertical="top" wrapText="1"/>
    </xf>
    <xf numFmtId="0" fontId="0" fillId="0" borderId="3" xfId="0" applyBorder="1" applyAlignment="1">
      <alignment horizontal="left" vertical="center"/>
    </xf>
    <xf numFmtId="0" fontId="16" fillId="0" borderId="0" xfId="0" applyFont="1"/>
    <xf numFmtId="0" fontId="0" fillId="0" borderId="0" xfId="0" applyAlignment="1">
      <alignment vertical="top"/>
    </xf>
    <xf numFmtId="0" fontId="19" fillId="0" borderId="0" xfId="2" applyFont="1"/>
    <xf numFmtId="0" fontId="19" fillId="4" borderId="0" xfId="2" applyFont="1" applyFill="1"/>
    <xf numFmtId="0" fontId="19" fillId="2" borderId="0" xfId="2" applyFont="1" applyFill="1"/>
    <xf numFmtId="0" fontId="6" fillId="0" borderId="0" xfId="0" applyFont="1"/>
    <xf numFmtId="0" fontId="4" fillId="0" borderId="1" xfId="0" applyFont="1" applyBorder="1" applyAlignment="1">
      <alignment horizontal="left" vertical="top"/>
    </xf>
    <xf numFmtId="0" fontId="4" fillId="0" borderId="1" xfId="0" applyFont="1" applyBorder="1" applyAlignment="1">
      <alignment horizontal="center" vertical="top"/>
    </xf>
    <xf numFmtId="0" fontId="14" fillId="0" borderId="1" xfId="0" applyFont="1" applyBorder="1" applyAlignment="1">
      <alignment horizontal="center" vertical="top"/>
    </xf>
    <xf numFmtId="0" fontId="14" fillId="0" borderId="1" xfId="0" applyFont="1" applyBorder="1" applyAlignment="1">
      <alignment horizontal="center" vertical="top" wrapText="1"/>
    </xf>
    <xf numFmtId="0" fontId="4" fillId="0" borderId="1" xfId="0" applyFont="1" applyBorder="1" applyAlignment="1">
      <alignment horizontal="center" vertical="top" wrapText="1"/>
    </xf>
    <xf numFmtId="0" fontId="7" fillId="0" borderId="1" xfId="0" applyFont="1" applyBorder="1" applyAlignment="1">
      <alignment horizontal="center" vertical="top"/>
    </xf>
    <xf numFmtId="0" fontId="11" fillId="0" borderId="1" xfId="0" applyFont="1" applyBorder="1" applyAlignment="1">
      <alignment horizontal="left" vertical="top"/>
    </xf>
    <xf numFmtId="0" fontId="11" fillId="0" borderId="1" xfId="0" applyFont="1" applyBorder="1" applyAlignment="1">
      <alignment horizontal="left" vertical="top" wrapText="1"/>
    </xf>
    <xf numFmtId="2" fontId="11" fillId="0" borderId="1" xfId="1" applyNumberFormat="1" applyFont="1" applyBorder="1" applyAlignment="1">
      <alignment horizontal="left" vertical="top"/>
    </xf>
    <xf numFmtId="2" fontId="11" fillId="0" borderId="1" xfId="0" applyNumberFormat="1" applyFont="1" applyBorder="1" applyAlignment="1">
      <alignment horizontal="center" vertical="top"/>
    </xf>
    <xf numFmtId="6" fontId="7" fillId="0" borderId="1" xfId="0" applyNumberFormat="1" applyFont="1" applyBorder="1" applyAlignment="1">
      <alignment horizontal="center" vertical="top" wrapText="1"/>
    </xf>
    <xf numFmtId="0" fontId="7" fillId="0" borderId="1" xfId="0" applyFont="1" applyBorder="1" applyAlignment="1">
      <alignment horizontal="center" vertical="top" wrapText="1"/>
    </xf>
    <xf numFmtId="6" fontId="11" fillId="0" borderId="1" xfId="0" applyNumberFormat="1" applyFont="1" applyBorder="1" applyAlignment="1">
      <alignment horizontal="center" vertical="top"/>
    </xf>
    <xf numFmtId="0" fontId="11" fillId="0" borderId="1" xfId="0" applyFont="1" applyBorder="1" applyAlignment="1">
      <alignment horizontal="center" vertical="top"/>
    </xf>
    <xf numFmtId="0" fontId="11" fillId="0" borderId="0" xfId="0" applyFont="1" applyAlignment="1">
      <alignment horizontal="left" vertical="top"/>
    </xf>
    <xf numFmtId="0" fontId="11" fillId="0" borderId="0" xfId="0" applyFont="1" applyAlignment="1">
      <alignment horizontal="left" vertical="top" wrapText="1"/>
    </xf>
    <xf numFmtId="0" fontId="0" fillId="0" borderId="1" xfId="0" applyBorder="1" applyAlignment="1">
      <alignment horizontal="left" vertical="top"/>
    </xf>
    <xf numFmtId="0" fontId="0" fillId="0" borderId="1" xfId="0" applyBorder="1" applyAlignment="1">
      <alignment horizontal="center" vertical="top"/>
    </xf>
    <xf numFmtId="0" fontId="0" fillId="0" borderId="0" xfId="0" applyAlignment="1">
      <alignment horizontal="right" vertical="top"/>
    </xf>
    <xf numFmtId="1" fontId="7" fillId="0" borderId="1" xfId="0" applyNumberFormat="1" applyFont="1" applyBorder="1" applyAlignment="1">
      <alignment horizontal="center" vertical="top" wrapText="1"/>
    </xf>
    <xf numFmtId="0" fontId="0" fillId="0" borderId="2" xfId="0" applyBorder="1"/>
    <xf numFmtId="0" fontId="0" fillId="0" borderId="0" xfId="0" applyAlignment="1">
      <alignment horizontal="right"/>
    </xf>
    <xf numFmtId="1" fontId="0" fillId="0" borderId="1" xfId="0" applyNumberFormat="1" applyBorder="1"/>
    <xf numFmtId="0" fontId="25" fillId="0" borderId="1" xfId="0" applyFont="1" applyBorder="1" applyAlignment="1">
      <alignment horizontal="right" vertical="center" indent="1"/>
    </xf>
    <xf numFmtId="0" fontId="0" fillId="0" borderId="0" xfId="0" applyAlignment="1">
      <alignment horizontal="left"/>
    </xf>
    <xf numFmtId="0" fontId="26" fillId="4" borderId="0" xfId="0" applyFont="1" applyFill="1" applyAlignment="1">
      <alignment horizontal="center"/>
    </xf>
    <xf numFmtId="0" fontId="26" fillId="4" borderId="0" xfId="0" applyFont="1" applyFill="1"/>
    <xf numFmtId="0" fontId="0" fillId="4" borderId="0" xfId="0" applyFill="1"/>
    <xf numFmtId="0" fontId="26" fillId="4" borderId="0" xfId="0" applyFont="1" applyFill="1" applyAlignment="1">
      <alignment vertical="top"/>
    </xf>
    <xf numFmtId="0" fontId="0" fillId="4" borderId="0" xfId="0" applyFill="1" applyAlignment="1">
      <alignment vertical="top"/>
    </xf>
    <xf numFmtId="0" fontId="26" fillId="4" borderId="0" xfId="0" applyFont="1" applyFill="1" applyAlignment="1">
      <alignment wrapText="1"/>
    </xf>
    <xf numFmtId="9" fontId="32" fillId="4" borderId="0" xfId="0" applyNumberFormat="1" applyFont="1" applyFill="1" applyAlignment="1">
      <alignment horizontal="center"/>
    </xf>
    <xf numFmtId="0" fontId="27" fillId="2" borderId="0" xfId="0" applyFont="1" applyFill="1"/>
    <xf numFmtId="0" fontId="26" fillId="2" borderId="0" xfId="0" applyFont="1" applyFill="1"/>
    <xf numFmtId="0" fontId="28" fillId="2" borderId="0" xfId="0" applyFont="1" applyFill="1"/>
    <xf numFmtId="0" fontId="26" fillId="2" borderId="0" xfId="0" applyFont="1" applyFill="1" applyAlignment="1">
      <alignment wrapText="1"/>
    </xf>
    <xf numFmtId="0" fontId="26" fillId="2" borderId="0" xfId="0" applyFont="1" applyFill="1" applyAlignment="1">
      <alignment vertical="top"/>
    </xf>
    <xf numFmtId="0" fontId="26" fillId="2" borderId="0" xfId="0" applyFont="1" applyFill="1" applyAlignment="1">
      <alignment horizontal="center"/>
    </xf>
    <xf numFmtId="0" fontId="29" fillId="2" borderId="0" xfId="0" applyFont="1" applyFill="1" applyAlignment="1">
      <alignment vertical="top" wrapText="1"/>
    </xf>
    <xf numFmtId="0" fontId="29" fillId="4" borderId="0" xfId="0" applyFont="1" applyFill="1" applyAlignment="1">
      <alignment horizontal="left" vertical="top" wrapText="1"/>
    </xf>
    <xf numFmtId="0" fontId="29" fillId="4" borderId="0" xfId="0" applyFont="1" applyFill="1" applyAlignment="1">
      <alignment vertical="top" wrapText="1"/>
    </xf>
    <xf numFmtId="0" fontId="26" fillId="5" borderId="0" xfId="0" applyFont="1" applyFill="1"/>
    <xf numFmtId="0" fontId="26" fillId="5" borderId="0" xfId="0" applyFont="1" applyFill="1" applyAlignment="1">
      <alignment vertical="top"/>
    </xf>
    <xf numFmtId="0" fontId="30" fillId="5" borderId="0" xfId="0" applyFont="1" applyFill="1"/>
    <xf numFmtId="0" fontId="35" fillId="5" borderId="0" xfId="0" applyFont="1" applyFill="1"/>
    <xf numFmtId="0" fontId="26" fillId="5" borderId="0" xfId="0" applyFont="1" applyFill="1" applyAlignment="1">
      <alignment horizontal="right" vertical="top"/>
    </xf>
    <xf numFmtId="0" fontId="26" fillId="5" borderId="0" xfId="0" applyFont="1" applyFill="1" applyAlignment="1">
      <alignment horizontal="right"/>
    </xf>
    <xf numFmtId="0" fontId="37" fillId="2" borderId="0" xfId="0" applyFont="1" applyFill="1"/>
    <xf numFmtId="0" fontId="31" fillId="2" borderId="0" xfId="0" applyFont="1" applyFill="1" applyAlignment="1">
      <alignment vertical="center"/>
    </xf>
    <xf numFmtId="9" fontId="7" fillId="6" borderId="1" xfId="1" applyFont="1" applyFill="1" applyBorder="1" applyAlignment="1">
      <alignment horizontal="center" vertical="top" wrapText="1"/>
    </xf>
    <xf numFmtId="0" fontId="38" fillId="0" borderId="0" xfId="0" applyFont="1"/>
    <xf numFmtId="0" fontId="39" fillId="7" borderId="1" xfId="0" applyFont="1" applyFill="1" applyBorder="1"/>
    <xf numFmtId="0" fontId="39" fillId="7" borderId="0" xfId="0" applyFont="1" applyFill="1"/>
    <xf numFmtId="0" fontId="10" fillId="3" borderId="1" xfId="0" applyFont="1" applyFill="1" applyBorder="1" applyAlignment="1">
      <alignment horizontal="right"/>
    </xf>
    <xf numFmtId="1" fontId="0" fillId="0" borderId="0" xfId="0" applyNumberFormat="1"/>
    <xf numFmtId="0" fontId="39" fillId="7" borderId="14" xfId="0" applyFont="1" applyFill="1" applyBorder="1" applyAlignment="1">
      <alignment horizontal="left" vertical="center"/>
    </xf>
    <xf numFmtId="0" fontId="39" fillId="7" borderId="1" xfId="0" applyFont="1" applyFill="1" applyBorder="1" applyAlignment="1">
      <alignment horizontal="left" vertical="center"/>
    </xf>
    <xf numFmtId="0" fontId="39" fillId="7" borderId="0" xfId="0" applyFont="1" applyFill="1" applyAlignment="1">
      <alignment horizontal="left" vertical="center"/>
    </xf>
    <xf numFmtId="0" fontId="0" fillId="0" borderId="15" xfId="0" applyBorder="1"/>
    <xf numFmtId="0" fontId="3" fillId="0" borderId="0" xfId="7"/>
    <xf numFmtId="0" fontId="3" fillId="0" borderId="0" xfId="7" applyAlignment="1">
      <alignment wrapText="1"/>
    </xf>
    <xf numFmtId="167" fontId="3" fillId="0" borderId="0" xfId="5" applyNumberFormat="1" applyFont="1" applyAlignment="1">
      <alignment wrapText="1"/>
    </xf>
    <xf numFmtId="0" fontId="39" fillId="7" borderId="0" xfId="7" applyFont="1" applyFill="1" applyAlignment="1">
      <alignment vertical="center" wrapText="1"/>
    </xf>
    <xf numFmtId="49" fontId="3" fillId="8" borderId="1" xfId="7" applyNumberFormat="1" applyFill="1" applyBorder="1" applyAlignment="1">
      <alignment vertical="center" wrapText="1"/>
    </xf>
    <xf numFmtId="49" fontId="3" fillId="8" borderId="1" xfId="7" applyNumberFormat="1" applyFill="1" applyBorder="1" applyAlignment="1">
      <alignment vertical="center"/>
    </xf>
    <xf numFmtId="9" fontId="3" fillId="0" borderId="1" xfId="7" applyNumberFormat="1" applyBorder="1" applyAlignment="1">
      <alignment vertical="center"/>
    </xf>
    <xf numFmtId="9" fontId="3" fillId="0" borderId="1" xfId="1" applyFont="1" applyBorder="1" applyAlignment="1">
      <alignment vertical="center"/>
    </xf>
    <xf numFmtId="166" fontId="3" fillId="0" borderId="1" xfId="4" applyNumberFormat="1" applyFont="1" applyBorder="1" applyAlignment="1">
      <alignment vertical="center"/>
    </xf>
    <xf numFmtId="9" fontId="3" fillId="2" borderId="1" xfId="7" applyNumberFormat="1" applyFill="1" applyBorder="1" applyAlignment="1">
      <alignment vertical="center"/>
    </xf>
    <xf numFmtId="166" fontId="0" fillId="0" borderId="0" xfId="4" applyNumberFormat="1" applyFont="1" applyAlignment="1">
      <alignment horizontal="right" vertical="top"/>
    </xf>
    <xf numFmtId="9" fontId="11" fillId="0" borderId="1" xfId="1" applyFont="1" applyBorder="1" applyAlignment="1">
      <alignment horizontal="center" vertical="top"/>
    </xf>
    <xf numFmtId="0" fontId="5" fillId="0" borderId="2" xfId="0" applyFont="1" applyBorder="1"/>
    <xf numFmtId="0" fontId="0" fillId="0" borderId="4" xfId="0" applyBorder="1"/>
    <xf numFmtId="0" fontId="0" fillId="0" borderId="5" xfId="0" applyBorder="1"/>
    <xf numFmtId="0" fontId="26" fillId="2" borderId="17" xfId="0" applyFont="1" applyFill="1" applyBorder="1" applyAlignment="1">
      <alignment horizontal="left" indent="1"/>
    </xf>
    <xf numFmtId="0" fontId="26" fillId="2" borderId="22" xfId="0" applyFont="1" applyFill="1" applyBorder="1" applyAlignment="1">
      <alignment horizontal="left" indent="1"/>
    </xf>
    <xf numFmtId="0" fontId="7" fillId="0" borderId="15" xfId="0" applyFont="1" applyBorder="1" applyAlignment="1">
      <alignment horizontal="left" vertical="center"/>
    </xf>
    <xf numFmtId="0" fontId="7" fillId="0" borderId="0" xfId="0" applyFont="1" applyAlignment="1">
      <alignment horizontal="left" vertical="center"/>
    </xf>
    <xf numFmtId="9" fontId="26" fillId="2" borderId="23" xfId="0" applyNumberFormat="1" applyFont="1" applyFill="1" applyBorder="1" applyAlignment="1">
      <alignment horizontal="left" vertical="top" indent="1"/>
    </xf>
    <xf numFmtId="9" fontId="26" fillId="2" borderId="27" xfId="0" applyNumberFormat="1" applyFont="1" applyFill="1" applyBorder="1" applyAlignment="1">
      <alignment horizontal="left" vertical="top" indent="1"/>
    </xf>
    <xf numFmtId="0" fontId="26" fillId="2" borderId="28" xfId="0" applyFont="1" applyFill="1" applyBorder="1" applyAlignment="1">
      <alignment horizontal="left" vertical="top" indent="1"/>
    </xf>
    <xf numFmtId="9" fontId="26" fillId="2" borderId="28" xfId="0" applyNumberFormat="1" applyFont="1" applyFill="1" applyBorder="1" applyAlignment="1">
      <alignment horizontal="left" vertical="top" indent="1"/>
    </xf>
    <xf numFmtId="9" fontId="26" fillId="2" borderId="29" xfId="0" applyNumberFormat="1" applyFont="1" applyFill="1" applyBorder="1" applyAlignment="1">
      <alignment horizontal="left" vertical="top" indent="1"/>
    </xf>
    <xf numFmtId="0" fontId="26" fillId="2" borderId="24" xfId="0" applyFont="1" applyFill="1" applyBorder="1"/>
    <xf numFmtId="0" fontId="26" fillId="2" borderId="29" xfId="0" applyFont="1" applyFill="1" applyBorder="1" applyAlignment="1">
      <alignment horizontal="left" vertical="top" indent="1"/>
    </xf>
    <xf numFmtId="0" fontId="35" fillId="5" borderId="0" xfId="0" applyFont="1" applyFill="1" applyAlignment="1">
      <alignment vertical="top"/>
    </xf>
    <xf numFmtId="0" fontId="39" fillId="7" borderId="2" xfId="0" applyFont="1" applyFill="1" applyBorder="1"/>
    <xf numFmtId="0" fontId="0" fillId="0" borderId="0" xfId="0" quotePrefix="1" applyAlignment="1">
      <alignment wrapText="1"/>
    </xf>
    <xf numFmtId="0" fontId="26" fillId="9" borderId="0" xfId="0" applyFont="1" applyFill="1"/>
    <xf numFmtId="0" fontId="26" fillId="9" borderId="0" xfId="0" applyFont="1" applyFill="1" applyAlignment="1">
      <alignment horizontal="left" vertical="top" wrapText="1"/>
    </xf>
    <xf numFmtId="0" fontId="26" fillId="9" borderId="0" xfId="0" applyFont="1" applyFill="1" applyAlignment="1">
      <alignment vertical="top"/>
    </xf>
    <xf numFmtId="0" fontId="26" fillId="9" borderId="0" xfId="0" applyFont="1" applyFill="1" applyAlignment="1">
      <alignment horizontal="left" vertical="top"/>
    </xf>
    <xf numFmtId="0" fontId="26" fillId="9" borderId="0" xfId="0" applyFont="1" applyFill="1" applyAlignment="1">
      <alignment horizontal="left" vertical="top" wrapText="1" indent="1"/>
    </xf>
    <xf numFmtId="0" fontId="41" fillId="9" borderId="0" xfId="0" applyFont="1" applyFill="1" applyAlignment="1">
      <alignment horizontal="left" vertical="top" wrapText="1" indent="1"/>
    </xf>
    <xf numFmtId="0" fontId="43" fillId="9" borderId="0" xfId="0" applyFont="1" applyFill="1" applyAlignment="1">
      <alignment horizontal="left" vertical="center"/>
    </xf>
    <xf numFmtId="0" fontId="42" fillId="9" borderId="0" xfId="0" applyFont="1" applyFill="1" applyAlignment="1">
      <alignment horizontal="center" vertical="center" wrapText="1"/>
    </xf>
    <xf numFmtId="0" fontId="26" fillId="9" borderId="0" xfId="0" applyFont="1" applyFill="1" applyAlignment="1">
      <alignment horizontal="left" indent="1"/>
    </xf>
    <xf numFmtId="0" fontId="26" fillId="9" borderId="0" xfId="0" applyFont="1" applyFill="1" applyAlignment="1">
      <alignment horizontal="left" vertical="top" indent="1"/>
    </xf>
    <xf numFmtId="0" fontId="26" fillId="9" borderId="0" xfId="0" applyFont="1" applyFill="1" applyAlignment="1">
      <alignment horizontal="center" vertical="center"/>
    </xf>
    <xf numFmtId="0" fontId="26" fillId="9" borderId="0" xfId="0" applyFont="1" applyFill="1" applyAlignment="1">
      <alignment vertical="top" wrapText="1"/>
    </xf>
    <xf numFmtId="9" fontId="26" fillId="0" borderId="28" xfId="0" applyNumberFormat="1" applyFont="1" applyBorder="1" applyAlignment="1">
      <alignment horizontal="left" vertical="top" indent="1"/>
    </xf>
    <xf numFmtId="0" fontId="26" fillId="5" borderId="0" xfId="0" applyFont="1" applyFill="1" applyAlignment="1">
      <alignment horizontal="left"/>
    </xf>
    <xf numFmtId="2" fontId="26" fillId="5" borderId="0" xfId="0" applyNumberFormat="1" applyFont="1" applyFill="1" applyAlignment="1">
      <alignment horizontal="left"/>
    </xf>
    <xf numFmtId="166" fontId="11" fillId="0" borderId="0" xfId="4" applyNumberFormat="1" applyFont="1" applyAlignment="1">
      <alignment horizontal="right" vertical="top"/>
    </xf>
    <xf numFmtId="166" fontId="11" fillId="0" borderId="0" xfId="4" applyNumberFormat="1" applyFont="1"/>
    <xf numFmtId="166" fontId="5" fillId="0" borderId="0" xfId="0" applyNumberFormat="1" applyFont="1"/>
    <xf numFmtId="166" fontId="0" fillId="0" borderId="0" xfId="0" applyNumberFormat="1" applyAlignment="1">
      <alignment horizontal="right" vertical="top"/>
    </xf>
    <xf numFmtId="166" fontId="0" fillId="0" borderId="0" xfId="0" applyNumberFormat="1"/>
    <xf numFmtId="9" fontId="33" fillId="0" borderId="28" xfId="0" applyNumberFormat="1" applyFont="1" applyBorder="1" applyAlignment="1">
      <alignment horizontal="left" vertical="top" indent="1"/>
    </xf>
    <xf numFmtId="166" fontId="0" fillId="0" borderId="0" xfId="4" applyNumberFormat="1" applyFont="1"/>
    <xf numFmtId="164" fontId="26" fillId="5" borderId="0" xfId="0" applyNumberFormat="1" applyFont="1" applyFill="1" applyAlignment="1">
      <alignment horizontal="left"/>
    </xf>
    <xf numFmtId="0" fontId="44" fillId="2" borderId="0" xfId="0" applyFont="1" applyFill="1" applyAlignment="1">
      <alignment vertical="top" wrapText="1"/>
    </xf>
    <xf numFmtId="166" fontId="26" fillId="2" borderId="6" xfId="4" applyNumberFormat="1" applyFont="1" applyFill="1" applyBorder="1" applyAlignment="1" applyProtection="1">
      <alignment horizontal="center"/>
      <protection locked="0"/>
    </xf>
    <xf numFmtId="166" fontId="26" fillId="2" borderId="6" xfId="4" applyNumberFormat="1" applyFont="1" applyFill="1" applyBorder="1" applyProtection="1">
      <protection locked="0"/>
    </xf>
    <xf numFmtId="43" fontId="26" fillId="2" borderId="6" xfId="4" applyFont="1" applyFill="1" applyBorder="1" applyProtection="1">
      <protection locked="0"/>
    </xf>
    <xf numFmtId="0" fontId="45" fillId="5" borderId="0" xfId="0" applyFont="1" applyFill="1" applyAlignment="1">
      <alignment horizontal="left" vertical="center"/>
    </xf>
    <xf numFmtId="166" fontId="26" fillId="0" borderId="6" xfId="4" applyNumberFormat="1" applyFont="1" applyFill="1" applyBorder="1" applyProtection="1">
      <protection locked="0"/>
    </xf>
    <xf numFmtId="0" fontId="26" fillId="2" borderId="36" xfId="0" applyFont="1" applyFill="1" applyBorder="1" applyAlignment="1">
      <alignment vertical="top"/>
    </xf>
    <xf numFmtId="0" fontId="26" fillId="2" borderId="26" xfId="0" applyFont="1" applyFill="1" applyBorder="1" applyAlignment="1">
      <alignment vertical="top"/>
    </xf>
    <xf numFmtId="9" fontId="26" fillId="2" borderId="25" xfId="0" applyNumberFormat="1" applyFont="1" applyFill="1" applyBorder="1" applyAlignment="1">
      <alignment horizontal="left" vertical="top" indent="1"/>
    </xf>
    <xf numFmtId="9" fontId="26" fillId="2" borderId="22" xfId="0" applyNumberFormat="1" applyFont="1" applyFill="1" applyBorder="1" applyAlignment="1">
      <alignment horizontal="left" vertical="top" wrapText="1" indent="1"/>
    </xf>
    <xf numFmtId="0" fontId="26" fillId="5" borderId="0" xfId="0" applyFont="1" applyFill="1" applyAlignment="1">
      <alignment wrapText="1"/>
    </xf>
    <xf numFmtId="0" fontId="39" fillId="7" borderId="0" xfId="0" applyFont="1" applyFill="1" applyAlignment="1">
      <alignment wrapText="1"/>
    </xf>
    <xf numFmtId="0" fontId="10" fillId="3" borderId="0" xfId="0" applyFont="1" applyFill="1" applyAlignment="1">
      <alignment horizontal="right" wrapText="1"/>
    </xf>
    <xf numFmtId="1" fontId="0" fillId="0" borderId="1" xfId="0" applyNumberFormat="1" applyBorder="1" applyAlignment="1">
      <alignment wrapText="1"/>
    </xf>
    <xf numFmtId="0" fontId="0" fillId="5" borderId="0" xfId="0" applyFill="1"/>
    <xf numFmtId="0" fontId="47" fillId="0" borderId="0" xfId="0" applyFont="1"/>
    <xf numFmtId="0" fontId="48" fillId="0" borderId="0" xfId="0" applyFont="1"/>
    <xf numFmtId="49" fontId="3" fillId="10" borderId="1" xfId="7" applyNumberFormat="1" applyFill="1" applyBorder="1" applyAlignment="1">
      <alignment vertical="center" wrapText="1"/>
    </xf>
    <xf numFmtId="49" fontId="3" fillId="10" borderId="1" xfId="7" applyNumberFormat="1" applyFill="1" applyBorder="1" applyAlignment="1">
      <alignment vertical="center"/>
    </xf>
    <xf numFmtId="9" fontId="3" fillId="0" borderId="1" xfId="1" applyFont="1" applyFill="1" applyBorder="1" applyAlignment="1">
      <alignment vertical="center"/>
    </xf>
    <xf numFmtId="167" fontId="3" fillId="0" borderId="0" xfId="5" applyNumberFormat="1" applyFont="1" applyFill="1" applyAlignment="1">
      <alignment wrapText="1"/>
    </xf>
    <xf numFmtId="0" fontId="46" fillId="0" borderId="0" xfId="0" quotePrefix="1" applyFont="1"/>
    <xf numFmtId="169" fontId="0" fillId="5" borderId="1" xfId="4" applyNumberFormat="1" applyFont="1" applyFill="1" applyBorder="1"/>
    <xf numFmtId="166" fontId="0" fillId="5" borderId="1" xfId="4" applyNumberFormat="1" applyFont="1" applyFill="1" applyBorder="1" applyAlignment="1">
      <alignment horizontal="right" vertical="top"/>
    </xf>
    <xf numFmtId="164" fontId="0" fillId="5" borderId="1" xfId="0" applyNumberFormat="1" applyFill="1" applyBorder="1" applyAlignment="1">
      <alignment horizontal="right" vertical="top"/>
    </xf>
    <xf numFmtId="170" fontId="0" fillId="5" borderId="1" xfId="4" applyNumberFormat="1" applyFont="1" applyFill="1" applyBorder="1"/>
    <xf numFmtId="165" fontId="0" fillId="5" borderId="1" xfId="0" applyNumberFormat="1" applyFill="1" applyBorder="1" applyAlignment="1">
      <alignment horizontal="right" vertical="top"/>
    </xf>
    <xf numFmtId="44" fontId="0" fillId="5" borderId="1" xfId="0" applyNumberFormat="1" applyFill="1" applyBorder="1" applyAlignment="1">
      <alignment horizontal="right" vertical="top"/>
    </xf>
    <xf numFmtId="166" fontId="7" fillId="5" borderId="1" xfId="4" applyNumberFormat="1" applyFont="1" applyFill="1" applyBorder="1" applyAlignment="1">
      <alignment horizontal="right" vertical="top"/>
    </xf>
    <xf numFmtId="166" fontId="7" fillId="5" borderId="1" xfId="4" applyNumberFormat="1" applyFont="1" applyFill="1" applyBorder="1"/>
    <xf numFmtId="0" fontId="0" fillId="5" borderId="1" xfId="0" applyFill="1" applyBorder="1" applyAlignment="1">
      <alignment horizontal="right" vertical="top"/>
    </xf>
    <xf numFmtId="0" fontId="0" fillId="5" borderId="3" xfId="0" applyFill="1" applyBorder="1" applyAlignment="1">
      <alignment horizontal="right" vertical="top"/>
    </xf>
    <xf numFmtId="1" fontId="0" fillId="5" borderId="1" xfId="0" applyNumberFormat="1" applyFill="1" applyBorder="1" applyAlignment="1">
      <alignment horizontal="right" vertical="top"/>
    </xf>
    <xf numFmtId="0" fontId="25" fillId="5" borderId="1" xfId="0" applyFont="1" applyFill="1" applyBorder="1" applyAlignment="1">
      <alignment horizontal="right" vertical="center" indent="1"/>
    </xf>
    <xf numFmtId="0" fontId="24" fillId="5" borderId="1" xfId="0" applyFont="1" applyFill="1" applyBorder="1" applyAlignment="1">
      <alignment horizontal="right" vertical="center" indent="1"/>
    </xf>
    <xf numFmtId="166" fontId="24" fillId="5" borderId="1" xfId="4" applyNumberFormat="1" applyFont="1" applyFill="1" applyBorder="1" applyAlignment="1">
      <alignment horizontal="right" vertical="center" indent="1"/>
    </xf>
    <xf numFmtId="166" fontId="7" fillId="5" borderId="1" xfId="4" applyNumberFormat="1" applyFont="1" applyFill="1" applyBorder="1" applyAlignment="1">
      <alignment horizontal="right" vertical="center" indent="1"/>
    </xf>
    <xf numFmtId="166" fontId="24" fillId="5" borderId="1" xfId="0" applyNumberFormat="1" applyFont="1" applyFill="1" applyBorder="1" applyAlignment="1">
      <alignment horizontal="right" vertical="center" indent="1"/>
    </xf>
    <xf numFmtId="9" fontId="24" fillId="5" borderId="1" xfId="1" applyFont="1" applyFill="1" applyBorder="1" applyAlignment="1">
      <alignment horizontal="right" vertical="center" indent="1"/>
    </xf>
    <xf numFmtId="167" fontId="24" fillId="5" borderId="1" xfId="5" applyNumberFormat="1" applyFont="1" applyFill="1" applyBorder="1" applyAlignment="1">
      <alignment horizontal="right" vertical="center" indent="1"/>
    </xf>
    <xf numFmtId="168" fontId="0" fillId="5" borderId="0" xfId="0" applyNumberFormat="1" applyFill="1" applyAlignment="1">
      <alignment horizontal="center"/>
    </xf>
    <xf numFmtId="9" fontId="0" fillId="5" borderId="0" xfId="1" applyFont="1" applyFill="1"/>
    <xf numFmtId="0" fontId="5" fillId="5" borderId="0" xfId="0" applyFont="1" applyFill="1"/>
    <xf numFmtId="0" fontId="4" fillId="5" borderId="1" xfId="0" applyFont="1" applyFill="1" applyBorder="1"/>
    <xf numFmtId="0" fontId="0" fillId="5" borderId="1" xfId="0" applyFill="1" applyBorder="1"/>
    <xf numFmtId="166" fontId="0" fillId="5" borderId="1" xfId="4" applyNumberFormat="1" applyFont="1" applyFill="1" applyBorder="1"/>
    <xf numFmtId="0" fontId="39" fillId="7" borderId="3" xfId="7" applyFont="1" applyFill="1" applyBorder="1" applyAlignment="1">
      <alignment vertical="center"/>
    </xf>
    <xf numFmtId="0" fontId="3" fillId="0" borderId="0" xfId="7" applyAlignment="1">
      <alignment vertical="center"/>
    </xf>
    <xf numFmtId="0" fontId="3" fillId="0" borderId="1" xfId="7" quotePrefix="1" applyBorder="1" applyAlignment="1">
      <alignment vertical="center"/>
    </xf>
    <xf numFmtId="49" fontId="3" fillId="0" borderId="1" xfId="7" quotePrefix="1" applyNumberFormat="1" applyBorder="1" applyAlignment="1">
      <alignment vertical="center"/>
    </xf>
    <xf numFmtId="49" fontId="3" fillId="0" borderId="1" xfId="7" applyNumberFormat="1" applyBorder="1" applyAlignment="1">
      <alignment vertical="center"/>
    </xf>
    <xf numFmtId="1" fontId="0" fillId="0" borderId="1" xfId="0" applyNumberFormat="1" applyBorder="1" applyAlignment="1">
      <alignment vertical="center"/>
    </xf>
    <xf numFmtId="9" fontId="0" fillId="0" borderId="1" xfId="1" applyFont="1" applyFill="1" applyBorder="1" applyAlignment="1">
      <alignment vertical="center"/>
    </xf>
    <xf numFmtId="0" fontId="3" fillId="0" borderId="0" xfId="7" applyAlignment="1">
      <alignment vertical="center" wrapText="1"/>
    </xf>
    <xf numFmtId="167" fontId="3" fillId="0" borderId="0" xfId="5" applyNumberFormat="1" applyFont="1" applyAlignment="1">
      <alignment vertical="center" wrapText="1"/>
    </xf>
    <xf numFmtId="167" fontId="3" fillId="0" borderId="0" xfId="5" applyNumberFormat="1" applyFont="1" applyFill="1" applyAlignment="1">
      <alignment vertical="center" wrapText="1"/>
    </xf>
    <xf numFmtId="9" fontId="3" fillId="0" borderId="1" xfId="7" applyNumberFormat="1" applyBorder="1" applyAlignment="1">
      <alignment horizontal="right" vertical="center"/>
    </xf>
    <xf numFmtId="1" fontId="0" fillId="0" borderId="1" xfId="0" applyNumberFormat="1" applyBorder="1" applyAlignment="1">
      <alignment horizontal="right" vertical="center"/>
    </xf>
    <xf numFmtId="9" fontId="0" fillId="0" borderId="1" xfId="1" applyFont="1" applyFill="1" applyBorder="1" applyAlignment="1">
      <alignment horizontal="right" vertical="center"/>
    </xf>
    <xf numFmtId="9" fontId="3" fillId="0" borderId="1" xfId="1" applyFont="1" applyFill="1" applyBorder="1" applyAlignment="1">
      <alignment horizontal="right" vertical="center"/>
    </xf>
    <xf numFmtId="166" fontId="3" fillId="0" borderId="1" xfId="4" applyNumberFormat="1" applyFont="1" applyFill="1" applyBorder="1" applyAlignment="1">
      <alignment horizontal="right" vertical="center"/>
    </xf>
    <xf numFmtId="166" fontId="3" fillId="0" borderId="1" xfId="4" applyNumberFormat="1" applyFont="1" applyBorder="1" applyAlignment="1">
      <alignment horizontal="right" vertical="center"/>
    </xf>
    <xf numFmtId="9" fontId="3" fillId="0" borderId="1" xfId="1" applyFont="1" applyBorder="1" applyAlignment="1">
      <alignment horizontal="right" vertical="center"/>
    </xf>
    <xf numFmtId="9" fontId="3" fillId="2" borderId="1" xfId="7" applyNumberFormat="1" applyFill="1" applyBorder="1" applyAlignment="1">
      <alignment horizontal="right" vertical="center"/>
    </xf>
    <xf numFmtId="9" fontId="2" fillId="0" borderId="1" xfId="7" applyNumberFormat="1" applyFont="1" applyBorder="1" applyAlignment="1">
      <alignment horizontal="right" vertical="center"/>
    </xf>
    <xf numFmtId="49" fontId="1" fillId="10" borderId="1" xfId="7" applyNumberFormat="1" applyFont="1" applyFill="1" applyBorder="1" applyAlignment="1">
      <alignment vertical="center" wrapText="1"/>
    </xf>
    <xf numFmtId="49" fontId="1" fillId="8" borderId="1" xfId="7" applyNumberFormat="1" applyFont="1" applyFill="1" applyBorder="1" applyAlignment="1">
      <alignment vertical="center" wrapText="1"/>
    </xf>
    <xf numFmtId="0" fontId="0" fillId="0" borderId="45" xfId="0" applyBorder="1"/>
    <xf numFmtId="0" fontId="0" fillId="0" borderId="46" xfId="0" applyBorder="1"/>
    <xf numFmtId="0" fontId="0" fillId="0" borderId="47" xfId="0" applyBorder="1"/>
    <xf numFmtId="0" fontId="0" fillId="9" borderId="44" xfId="0" applyFill="1" applyBorder="1"/>
    <xf numFmtId="0" fontId="20" fillId="2" borderId="0" xfId="2" applyFont="1" applyFill="1" applyAlignment="1">
      <alignment horizontal="center"/>
    </xf>
    <xf numFmtId="0" fontId="21" fillId="2" borderId="0" xfId="2" applyFont="1" applyFill="1" applyAlignment="1">
      <alignment horizontal="center" vertical="top" wrapText="1"/>
    </xf>
    <xf numFmtId="0" fontId="21" fillId="2" borderId="0" xfId="2" applyFont="1" applyFill="1" applyAlignment="1">
      <alignment horizontal="center" vertical="top"/>
    </xf>
    <xf numFmtId="0" fontId="23" fillId="2" borderId="0" xfId="3" applyFont="1" applyFill="1" applyAlignment="1">
      <alignment horizontal="center"/>
    </xf>
    <xf numFmtId="0" fontId="23" fillId="2" borderId="0" xfId="2" applyFont="1" applyFill="1" applyAlignment="1">
      <alignment horizontal="center"/>
    </xf>
    <xf numFmtId="0" fontId="33" fillId="2" borderId="11" xfId="0" applyFont="1" applyFill="1" applyBorder="1" applyAlignment="1">
      <alignment horizontal="left" vertical="top" wrapText="1" indent="1"/>
    </xf>
    <xf numFmtId="0" fontId="33" fillId="2" borderId="12" xfId="0" applyFont="1" applyFill="1" applyBorder="1" applyAlignment="1">
      <alignment horizontal="left" vertical="top" wrapText="1" indent="1"/>
    </xf>
    <xf numFmtId="0" fontId="33" fillId="2" borderId="39" xfId="0" applyFont="1" applyFill="1" applyBorder="1" applyAlignment="1">
      <alignment horizontal="left" vertical="top" wrapText="1" indent="1"/>
    </xf>
    <xf numFmtId="0" fontId="44" fillId="5" borderId="0" xfId="0" applyFont="1" applyFill="1" applyAlignment="1">
      <alignment horizontal="left" vertical="top" wrapText="1"/>
    </xf>
    <xf numFmtId="0" fontId="41" fillId="5" borderId="0" xfId="0" applyFont="1" applyFill="1" applyAlignment="1">
      <alignment horizontal="right" wrapText="1"/>
    </xf>
    <xf numFmtId="0" fontId="26" fillId="5" borderId="0" xfId="0" applyFont="1" applyFill="1" applyAlignment="1">
      <alignment horizontal="left" wrapText="1"/>
    </xf>
    <xf numFmtId="0" fontId="33" fillId="2" borderId="18" xfId="0" applyFont="1" applyFill="1" applyBorder="1" applyAlignment="1">
      <alignment horizontal="left" vertical="top" wrapText="1" indent="1"/>
    </xf>
    <xf numFmtId="0" fontId="33" fillId="2" borderId="19" xfId="0" applyFont="1" applyFill="1" applyBorder="1" applyAlignment="1">
      <alignment horizontal="left" vertical="top" wrapText="1" indent="1"/>
    </xf>
    <xf numFmtId="0" fontId="33" fillId="2" borderId="37" xfId="0" applyFont="1" applyFill="1" applyBorder="1" applyAlignment="1">
      <alignment horizontal="left" vertical="top" wrapText="1" indent="1"/>
    </xf>
    <xf numFmtId="0" fontId="33" fillId="2" borderId="38" xfId="0" applyFont="1" applyFill="1" applyBorder="1" applyAlignment="1">
      <alignment horizontal="left" vertical="top" wrapText="1" indent="1"/>
    </xf>
    <xf numFmtId="0" fontId="33" fillId="2" borderId="10" xfId="0" applyFont="1" applyFill="1" applyBorder="1" applyAlignment="1">
      <alignment horizontal="left" vertical="top" wrapText="1" indent="1"/>
    </xf>
    <xf numFmtId="0" fontId="33" fillId="2" borderId="20" xfId="0" applyFont="1" applyFill="1" applyBorder="1" applyAlignment="1">
      <alignment horizontal="left" vertical="top" wrapText="1" indent="1"/>
    </xf>
    <xf numFmtId="0" fontId="26" fillId="4" borderId="0" xfId="0" applyFont="1" applyFill="1" applyAlignment="1">
      <alignment horizontal="center"/>
    </xf>
    <xf numFmtId="0" fontId="33" fillId="2" borderId="13" xfId="0" applyFont="1" applyFill="1" applyBorder="1" applyAlignment="1">
      <alignment horizontal="left" vertical="top" wrapText="1" indent="1"/>
    </xf>
    <xf numFmtId="0" fontId="41" fillId="2" borderId="22" xfId="0" applyFont="1" applyFill="1" applyBorder="1" applyAlignment="1">
      <alignment horizontal="left" vertical="top" wrapText="1" indent="1"/>
    </xf>
    <xf numFmtId="0" fontId="41" fillId="2" borderId="23" xfId="0" applyFont="1" applyFill="1" applyBorder="1" applyAlignment="1">
      <alignment horizontal="left" vertical="top" wrapText="1" indent="1"/>
    </xf>
    <xf numFmtId="0" fontId="26" fillId="9" borderId="0" xfId="0" applyFont="1" applyFill="1" applyAlignment="1">
      <alignment horizontal="left" vertical="top" wrapText="1"/>
    </xf>
    <xf numFmtId="0" fontId="43" fillId="9" borderId="0" xfId="0" applyFont="1" applyFill="1" applyAlignment="1">
      <alignment horizontal="left"/>
    </xf>
    <xf numFmtId="0" fontId="42" fillId="2" borderId="35" xfId="0" applyFont="1" applyFill="1" applyBorder="1" applyAlignment="1">
      <alignment horizontal="left" vertical="center" wrapText="1"/>
    </xf>
    <xf numFmtId="0" fontId="42" fillId="2" borderId="22" xfId="0" applyFont="1" applyFill="1" applyBorder="1" applyAlignment="1">
      <alignment horizontal="left" vertical="center" wrapText="1"/>
    </xf>
    <xf numFmtId="0" fontId="26" fillId="2" borderId="34" xfId="0" applyFont="1" applyFill="1" applyBorder="1" applyAlignment="1">
      <alignment horizontal="center" vertical="center"/>
    </xf>
    <xf numFmtId="0" fontId="26" fillId="2" borderId="17" xfId="0" applyFont="1" applyFill="1" applyBorder="1" applyAlignment="1">
      <alignment horizontal="center" vertical="center"/>
    </xf>
    <xf numFmtId="0" fontId="26" fillId="2" borderId="17" xfId="0" applyFont="1" applyFill="1" applyBorder="1" applyAlignment="1">
      <alignment horizontal="center"/>
    </xf>
    <xf numFmtId="0" fontId="26" fillId="2" borderId="22" xfId="0" applyFont="1" applyFill="1" applyBorder="1" applyAlignment="1">
      <alignment horizontal="center"/>
    </xf>
    <xf numFmtId="0" fontId="26" fillId="2" borderId="16" xfId="0" applyFont="1" applyFill="1" applyBorder="1" applyAlignment="1">
      <alignment horizontal="center" vertical="center"/>
    </xf>
    <xf numFmtId="0" fontId="42" fillId="2" borderId="21"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26" fillId="9" borderId="0" xfId="0" applyFont="1" applyFill="1" applyAlignment="1">
      <alignment horizontal="left" vertical="top" wrapText="1" indent="1"/>
    </xf>
    <xf numFmtId="0" fontId="26" fillId="9" borderId="0" xfId="0" applyFont="1" applyFill="1" applyAlignment="1">
      <alignment horizontal="center" vertical="center"/>
    </xf>
    <xf numFmtId="0" fontId="33" fillId="2" borderId="33" xfId="0" applyFont="1" applyFill="1" applyBorder="1" applyAlignment="1">
      <alignment horizontal="left" vertical="top" wrapText="1" indent="1"/>
    </xf>
    <xf numFmtId="0" fontId="26" fillId="5" borderId="0" xfId="0" applyFont="1" applyFill="1" applyAlignment="1">
      <alignment horizontal="left" vertical="top" wrapText="1"/>
    </xf>
    <xf numFmtId="0" fontId="26" fillId="5" borderId="0" xfId="0" applyFont="1" applyFill="1" applyAlignment="1">
      <alignment horizontal="left"/>
    </xf>
    <xf numFmtId="0" fontId="26" fillId="2" borderId="7" xfId="0" applyFont="1" applyFill="1" applyBorder="1" applyAlignment="1" applyProtection="1">
      <alignment horizontal="left" vertical="top"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0" borderId="17" xfId="0" applyFont="1" applyBorder="1" applyAlignment="1">
      <alignment horizontal="center" vertical="top"/>
    </xf>
    <xf numFmtId="0" fontId="26" fillId="0" borderId="22" xfId="0" applyFont="1" applyBorder="1" applyAlignment="1">
      <alignment horizontal="center" vertical="top"/>
    </xf>
    <xf numFmtId="0" fontId="26" fillId="2" borderId="28" xfId="0" applyFont="1" applyFill="1" applyBorder="1" applyAlignment="1">
      <alignment horizontal="left" vertical="top" indent="1"/>
    </xf>
    <xf numFmtId="0" fontId="44" fillId="2" borderId="0" xfId="0" applyFont="1" applyFill="1" applyAlignment="1">
      <alignment horizontal="left" vertical="top" wrapText="1"/>
    </xf>
    <xf numFmtId="0" fontId="26" fillId="2" borderId="28" xfId="0" applyFont="1" applyFill="1" applyBorder="1" applyAlignment="1">
      <alignment horizontal="left" vertical="top" wrapText="1" indent="1"/>
    </xf>
    <xf numFmtId="169" fontId="26" fillId="5" borderId="0" xfId="4" applyNumberFormat="1" applyFont="1" applyFill="1" applyBorder="1" applyAlignment="1">
      <alignment horizontal="left" vertical="top"/>
    </xf>
    <xf numFmtId="166" fontId="26" fillId="5" borderId="0" xfId="4" applyNumberFormat="1" applyFont="1" applyFill="1" applyBorder="1" applyAlignment="1">
      <alignment horizontal="left" vertical="top"/>
    </xf>
    <xf numFmtId="0" fontId="26" fillId="9" borderId="0" xfId="0" applyFont="1" applyFill="1" applyAlignment="1">
      <alignment horizontal="center"/>
    </xf>
    <xf numFmtId="0" fontId="41" fillId="2" borderId="25" xfId="0" applyFont="1" applyFill="1" applyBorder="1" applyAlignment="1">
      <alignment horizontal="left" vertical="top" wrapText="1" indent="1"/>
    </xf>
    <xf numFmtId="0" fontId="26" fillId="5" borderId="0" xfId="0" applyFont="1" applyFill="1" applyAlignment="1">
      <alignment horizontal="right"/>
    </xf>
    <xf numFmtId="0" fontId="33" fillId="2" borderId="40" xfId="0" applyFont="1" applyFill="1" applyBorder="1" applyAlignment="1">
      <alignment horizontal="left" vertical="top" indent="1"/>
    </xf>
    <xf numFmtId="0" fontId="33" fillId="2" borderId="41" xfId="0" applyFont="1" applyFill="1" applyBorder="1" applyAlignment="1">
      <alignment horizontal="left" vertical="top" indent="1"/>
    </xf>
    <xf numFmtId="0" fontId="33" fillId="2" borderId="42" xfId="0" applyFont="1" applyFill="1" applyBorder="1" applyAlignment="1">
      <alignment horizontal="left" vertical="top" indent="1"/>
    </xf>
    <xf numFmtId="0" fontId="26" fillId="2" borderId="30" xfId="0" applyFont="1" applyFill="1" applyBorder="1" applyAlignment="1">
      <alignment horizontal="left" vertical="top" wrapText="1" indent="1"/>
    </xf>
    <xf numFmtId="0" fontId="26" fillId="2" borderId="31" xfId="0" applyFont="1" applyFill="1" applyBorder="1" applyAlignment="1">
      <alignment horizontal="left" vertical="top" wrapText="1" indent="1"/>
    </xf>
    <xf numFmtId="0" fontId="26" fillId="2" borderId="32" xfId="0" applyFont="1" applyFill="1" applyBorder="1" applyAlignment="1">
      <alignment horizontal="left" vertical="top" wrapText="1" indent="1"/>
    </xf>
    <xf numFmtId="0" fontId="26" fillId="2" borderId="43" xfId="0" applyFont="1" applyFill="1" applyBorder="1" applyAlignment="1">
      <alignment horizontal="left" vertical="top" wrapText="1" indent="1"/>
    </xf>
    <xf numFmtId="0" fontId="4" fillId="0" borderId="1" xfId="0" applyFont="1" applyBorder="1" applyAlignment="1">
      <alignment horizontal="left" vertical="top"/>
    </xf>
    <xf numFmtId="0" fontId="4" fillId="0" borderId="1" xfId="0" applyFont="1" applyBorder="1" applyAlignment="1">
      <alignment horizontal="left" vertical="top" wrapText="1"/>
    </xf>
  </cellXfs>
  <cellStyles count="8">
    <cellStyle name="Comma" xfId="4" builtinId="3"/>
    <cellStyle name="Currency" xfId="5" builtinId="4"/>
    <cellStyle name="Hyperlink" xfId="3" builtinId="8"/>
    <cellStyle name="Normal" xfId="0" builtinId="0"/>
    <cellStyle name="Normal 2" xfId="2" xr:uid="{ED1363A6-839F-48E4-B7DB-BBFA9963D9B3}"/>
    <cellStyle name="Normal 3" xfId="6" xr:uid="{B72B7229-E425-4A56-9863-5E9EC5BF9CAE}"/>
    <cellStyle name="Normal 5" xfId="7" xr:uid="{59A46BAF-5711-47F9-A570-8FDB27CAFDF9}"/>
    <cellStyle name="Percent" xfId="1" builtinId="5"/>
  </cellStyles>
  <dxfs count="9">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F0F8FB"/>
      </font>
      <fill>
        <patternFill>
          <bgColor rgb="FFF0F8FB"/>
        </patternFill>
      </fill>
      <border>
        <left style="thin">
          <color rgb="FFF0F8FB"/>
        </left>
        <right style="thin">
          <color rgb="FFF0F8FB"/>
        </right>
        <top style="thin">
          <color rgb="FFF0F8FB"/>
        </top>
        <bottom style="thin">
          <color rgb="FFF0F8FB"/>
        </bottom>
      </border>
    </dxf>
    <dxf>
      <font>
        <b val="0"/>
        <i val="0"/>
        <color rgb="FFF0F8FB"/>
      </font>
      <fill>
        <patternFill>
          <bgColor rgb="FFF0F8FB"/>
        </patternFill>
      </fill>
      <border>
        <left style="thin">
          <color rgb="FFF0F8FB"/>
        </left>
        <right style="thin">
          <color rgb="FFF0F8FB"/>
        </right>
        <top style="thin">
          <color rgb="FFF0F8FB"/>
        </top>
        <bottom style="thin">
          <color rgb="FFF0F8FB"/>
        </bottom>
      </border>
    </dxf>
    <dxf>
      <font>
        <color rgb="FFF0F8FB"/>
      </font>
      <fill>
        <patternFill>
          <bgColor rgb="FFF0F8FB"/>
        </patternFill>
      </fill>
      <border>
        <left/>
        <right/>
        <top/>
        <bottom/>
        <vertical/>
        <horizontal/>
      </border>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0F8FB"/>
      <color rgb="FF015A84"/>
      <color rgb="FFFFFFFF"/>
      <color rgb="FFE7F5F9"/>
      <color rgb="FF006699"/>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209549</xdr:colOff>
      <xdr:row>27</xdr:row>
      <xdr:rowOff>85725</xdr:rowOff>
    </xdr:from>
    <xdr:to>
      <xdr:col>17</xdr:col>
      <xdr:colOff>152400</xdr:colOff>
      <xdr:row>31</xdr:row>
      <xdr:rowOff>133351</xdr:rowOff>
    </xdr:to>
    <xdr:pic>
      <xdr:nvPicPr>
        <xdr:cNvPr id="2" name="Picture 1">
          <a:extLst>
            <a:ext uri="{FF2B5EF4-FFF2-40B4-BE49-F238E27FC236}">
              <a16:creationId xmlns:a16="http://schemas.microsoft.com/office/drawing/2014/main" id="{6A875AD0-EC7F-4E0C-A994-6F3833494213}"/>
            </a:ext>
          </a:extLst>
        </xdr:cNvPr>
        <xdr:cNvPicPr>
          <a:picLocks noChangeAspect="1"/>
        </xdr:cNvPicPr>
      </xdr:nvPicPr>
      <xdr:blipFill rotWithShape="1">
        <a:blip xmlns:r="http://schemas.openxmlformats.org/officeDocument/2006/relationships" r:embed="rId1"/>
        <a:srcRect l="1557" t="72320" r="886" b="2768"/>
        <a:stretch/>
      </xdr:blipFill>
      <xdr:spPr>
        <a:xfrm>
          <a:off x="809624" y="5734050"/>
          <a:ext cx="9544051" cy="771526"/>
        </a:xfrm>
        <a:prstGeom prst="rect">
          <a:avLst/>
        </a:prstGeom>
      </xdr:spPr>
    </xdr:pic>
    <xdr:clientData/>
  </xdr:twoCellAnchor>
  <xdr:twoCellAnchor editAs="oneCell">
    <xdr:from>
      <xdr:col>1</xdr:col>
      <xdr:colOff>361950</xdr:colOff>
      <xdr:row>12</xdr:row>
      <xdr:rowOff>161925</xdr:rowOff>
    </xdr:from>
    <xdr:to>
      <xdr:col>16</xdr:col>
      <xdr:colOff>516489</xdr:colOff>
      <xdr:row>27</xdr:row>
      <xdr:rowOff>76745</xdr:rowOff>
    </xdr:to>
    <xdr:pic>
      <xdr:nvPicPr>
        <xdr:cNvPr id="3" name="Picture 2">
          <a:extLst>
            <a:ext uri="{FF2B5EF4-FFF2-40B4-BE49-F238E27FC236}">
              <a16:creationId xmlns:a16="http://schemas.microsoft.com/office/drawing/2014/main" id="{F30566C4-48C3-4303-B945-48435FD4ECDB}"/>
            </a:ext>
          </a:extLst>
        </xdr:cNvPr>
        <xdr:cNvPicPr>
          <a:picLocks noChangeAspect="1"/>
        </xdr:cNvPicPr>
      </xdr:nvPicPr>
      <xdr:blipFill>
        <a:blip xmlns:r="http://schemas.openxmlformats.org/officeDocument/2006/relationships" r:embed="rId2"/>
        <a:stretch>
          <a:fillRect/>
        </a:stretch>
      </xdr:blipFill>
      <xdr:spPr>
        <a:xfrm>
          <a:off x="962025" y="3095625"/>
          <a:ext cx="9155664" cy="2629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619095</xdr:colOff>
      <xdr:row>1</xdr:row>
      <xdr:rowOff>187859</xdr:rowOff>
    </xdr:from>
    <xdr:to>
      <xdr:col>19</xdr:col>
      <xdr:colOff>79224</xdr:colOff>
      <xdr:row>4</xdr:row>
      <xdr:rowOff>298076</xdr:rowOff>
    </xdr:to>
    <xdr:pic>
      <xdr:nvPicPr>
        <xdr:cNvPr id="3" name="Picture 2">
          <a:extLst>
            <a:ext uri="{FF2B5EF4-FFF2-40B4-BE49-F238E27FC236}">
              <a16:creationId xmlns:a16="http://schemas.microsoft.com/office/drawing/2014/main" id="{C4218A03-B7EA-2DF9-1DAB-8CD46ED0B0B5}"/>
            </a:ext>
          </a:extLst>
        </xdr:cNvPr>
        <xdr:cNvPicPr>
          <a:picLocks noChangeAspect="1"/>
        </xdr:cNvPicPr>
      </xdr:nvPicPr>
      <xdr:blipFill>
        <a:blip xmlns:r="http://schemas.openxmlformats.org/officeDocument/2006/relationships" r:embed="rId1"/>
        <a:stretch>
          <a:fillRect/>
        </a:stretch>
      </xdr:blipFill>
      <xdr:spPr>
        <a:xfrm>
          <a:off x="15668595" y="378359"/>
          <a:ext cx="1932148" cy="648099"/>
        </a:xfrm>
        <a:prstGeom prst="rect">
          <a:avLst/>
        </a:prstGeom>
      </xdr:spPr>
    </xdr:pic>
    <xdr:clientData/>
  </xdr:twoCellAnchor>
  <xdr:twoCellAnchor>
    <xdr:from>
      <xdr:col>6</xdr:col>
      <xdr:colOff>1119924</xdr:colOff>
      <xdr:row>57</xdr:row>
      <xdr:rowOff>151402</xdr:rowOff>
    </xdr:from>
    <xdr:to>
      <xdr:col>7</xdr:col>
      <xdr:colOff>110801</xdr:colOff>
      <xdr:row>59</xdr:row>
      <xdr:rowOff>41052</xdr:rowOff>
    </xdr:to>
    <xdr:sp macro="" textlink="">
      <xdr:nvSpPr>
        <xdr:cNvPr id="2" name="Rectangle 1">
          <a:extLst>
            <a:ext uri="{FF2B5EF4-FFF2-40B4-BE49-F238E27FC236}">
              <a16:creationId xmlns:a16="http://schemas.microsoft.com/office/drawing/2014/main" id="{539B03DA-D461-4F94-AA52-24A3B3CBFB3E}"/>
            </a:ext>
          </a:extLst>
        </xdr:cNvPr>
        <xdr:cNvSpPr/>
      </xdr:nvSpPr>
      <xdr:spPr>
        <a:xfrm rot="2896370">
          <a:off x="5133000" y="9854326"/>
          <a:ext cx="165875" cy="19102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180000" rtlCol="0" anchor="t"/>
        <a:lstStyle/>
        <a:p>
          <a:pPr algn="ctr"/>
          <a:endParaRPr lang="en-CA" sz="1100" b="1"/>
        </a:p>
      </xdr:txBody>
    </xdr:sp>
    <xdr:clientData/>
  </xdr:twoCellAnchor>
  <mc:AlternateContent xmlns:mc="http://schemas.openxmlformats.org/markup-compatibility/2006">
    <mc:Choice xmlns:a14="http://schemas.microsoft.com/office/drawing/2010/main" Requires="a14">
      <xdr:twoCellAnchor editAs="oneCell">
        <xdr:from>
          <xdr:col>11</xdr:col>
          <xdr:colOff>56029</xdr:colOff>
          <xdr:row>15</xdr:row>
          <xdr:rowOff>134471</xdr:rowOff>
        </xdr:from>
        <xdr:to>
          <xdr:col>12</xdr:col>
          <xdr:colOff>2442882</xdr:colOff>
          <xdr:row>26</xdr:row>
          <xdr:rowOff>145676</xdr:rowOff>
        </xdr:to>
        <xdr:pic>
          <xdr:nvPicPr>
            <xdr:cNvPr id="5" name="Picture 4">
              <a:extLst>
                <a:ext uri="{FF2B5EF4-FFF2-40B4-BE49-F238E27FC236}">
                  <a16:creationId xmlns:a16="http://schemas.microsoft.com/office/drawing/2014/main" id="{2A6B8799-9865-A75C-C1D9-FB5E17B425A0}"/>
                </a:ext>
              </a:extLst>
            </xdr:cNvPr>
            <xdr:cNvPicPr>
              <a:picLocks noChangeAspect="1" noChangeArrowheads="1"/>
              <a:extLst>
                <a:ext uri="{84589F7E-364E-4C9E-8A38-B11213B215E9}">
                  <a14:cameraTool cellRange="SelectedImage1" spid="_x0000_s4156"/>
                </a:ext>
              </a:extLst>
            </xdr:cNvPicPr>
          </xdr:nvPicPr>
          <xdr:blipFill>
            <a:blip xmlns:r="http://schemas.openxmlformats.org/officeDocument/2006/relationships" r:embed="rId2"/>
            <a:srcRect/>
            <a:stretch>
              <a:fillRect/>
            </a:stretch>
          </xdr:blipFill>
          <xdr:spPr bwMode="auto">
            <a:xfrm>
              <a:off x="6387353" y="3148853"/>
              <a:ext cx="3709147" cy="2185147"/>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11206</xdr:colOff>
          <xdr:row>15</xdr:row>
          <xdr:rowOff>67235</xdr:rowOff>
        </xdr:from>
        <xdr:to>
          <xdr:col>15</xdr:col>
          <xdr:colOff>2409265</xdr:colOff>
          <xdr:row>26</xdr:row>
          <xdr:rowOff>78440</xdr:rowOff>
        </xdr:to>
        <xdr:pic>
          <xdr:nvPicPr>
            <xdr:cNvPr id="6" name="Picture 5">
              <a:extLst>
                <a:ext uri="{FF2B5EF4-FFF2-40B4-BE49-F238E27FC236}">
                  <a16:creationId xmlns:a16="http://schemas.microsoft.com/office/drawing/2014/main" id="{1974CCB5-2F8C-48EB-8227-BF0EF950CE3E}"/>
                </a:ext>
              </a:extLst>
            </xdr:cNvPr>
            <xdr:cNvPicPr>
              <a:picLocks noChangeAspect="1" noChangeArrowheads="1"/>
              <a:extLst>
                <a:ext uri="{84589F7E-364E-4C9E-8A38-B11213B215E9}">
                  <a14:cameraTool cellRange="SelectedImage2" spid="_x0000_s4157"/>
                </a:ext>
              </a:extLst>
            </xdr:cNvPicPr>
          </xdr:nvPicPr>
          <xdr:blipFill>
            <a:blip xmlns:r="http://schemas.openxmlformats.org/officeDocument/2006/relationships" r:embed="rId2"/>
            <a:srcRect/>
            <a:stretch>
              <a:fillRect/>
            </a:stretch>
          </xdr:blipFill>
          <xdr:spPr bwMode="auto">
            <a:xfrm>
              <a:off x="10331824" y="3081617"/>
              <a:ext cx="3709147" cy="2185147"/>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56030</xdr:colOff>
          <xdr:row>15</xdr:row>
          <xdr:rowOff>67235</xdr:rowOff>
        </xdr:from>
        <xdr:to>
          <xdr:col>18</xdr:col>
          <xdr:colOff>2454089</xdr:colOff>
          <xdr:row>26</xdr:row>
          <xdr:rowOff>78440</xdr:rowOff>
        </xdr:to>
        <xdr:pic>
          <xdr:nvPicPr>
            <xdr:cNvPr id="7" name="Picture 6">
              <a:extLst>
                <a:ext uri="{FF2B5EF4-FFF2-40B4-BE49-F238E27FC236}">
                  <a16:creationId xmlns:a16="http://schemas.microsoft.com/office/drawing/2014/main" id="{B968B6EE-172C-4149-A313-E73397EEC1B4}"/>
                </a:ext>
              </a:extLst>
            </xdr:cNvPr>
            <xdr:cNvPicPr>
              <a:picLocks noChangeAspect="1" noChangeArrowheads="1"/>
              <a:extLst>
                <a:ext uri="{84589F7E-364E-4C9E-8A38-B11213B215E9}">
                  <a14:cameraTool cellRange="SelectedImage3" spid="_x0000_s4158"/>
                </a:ext>
              </a:extLst>
            </xdr:cNvPicPr>
          </xdr:nvPicPr>
          <xdr:blipFill>
            <a:blip xmlns:r="http://schemas.openxmlformats.org/officeDocument/2006/relationships" r:embed="rId2"/>
            <a:srcRect/>
            <a:stretch>
              <a:fillRect/>
            </a:stretch>
          </xdr:blipFill>
          <xdr:spPr bwMode="auto">
            <a:xfrm>
              <a:off x="14354736" y="3081617"/>
              <a:ext cx="3709147" cy="218514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846272</xdr:colOff>
      <xdr:row>3</xdr:row>
      <xdr:rowOff>28575</xdr:rowOff>
    </xdr:from>
    <xdr:to>
      <xdr:col>5</xdr:col>
      <xdr:colOff>2998922</xdr:colOff>
      <xdr:row>3</xdr:row>
      <xdr:rowOff>2221578</xdr:rowOff>
    </xdr:to>
    <xdr:pic>
      <xdr:nvPicPr>
        <xdr:cNvPr id="3" name="Picture 2">
          <a:extLst>
            <a:ext uri="{FF2B5EF4-FFF2-40B4-BE49-F238E27FC236}">
              <a16:creationId xmlns:a16="http://schemas.microsoft.com/office/drawing/2014/main" id="{7CE0AFE4-1451-D8B6-27EE-554F0AB18295}"/>
            </a:ext>
          </a:extLst>
        </xdr:cNvPr>
        <xdr:cNvPicPr>
          <a:picLocks noChangeAspect="1"/>
        </xdr:cNvPicPr>
      </xdr:nvPicPr>
      <xdr:blipFill>
        <a:blip xmlns:r="http://schemas.openxmlformats.org/officeDocument/2006/relationships" r:embed="rId1"/>
        <a:stretch>
          <a:fillRect/>
        </a:stretch>
      </xdr:blipFill>
      <xdr:spPr>
        <a:xfrm>
          <a:off x="11722090" y="1240848"/>
          <a:ext cx="2152650" cy="2193003"/>
        </a:xfrm>
        <a:prstGeom prst="rect">
          <a:avLst/>
        </a:prstGeom>
      </xdr:spPr>
    </xdr:pic>
    <xdr:clientData/>
  </xdr:twoCellAnchor>
  <xdr:twoCellAnchor editAs="oneCell">
    <xdr:from>
      <xdr:col>4</xdr:col>
      <xdr:colOff>816451</xdr:colOff>
      <xdr:row>3</xdr:row>
      <xdr:rowOff>38100</xdr:rowOff>
    </xdr:from>
    <xdr:to>
      <xdr:col>4</xdr:col>
      <xdr:colOff>2969101</xdr:colOff>
      <xdr:row>3</xdr:row>
      <xdr:rowOff>2231103</xdr:rowOff>
    </xdr:to>
    <xdr:pic>
      <xdr:nvPicPr>
        <xdr:cNvPr id="5" name="Picture 4">
          <a:extLst>
            <a:ext uri="{FF2B5EF4-FFF2-40B4-BE49-F238E27FC236}">
              <a16:creationId xmlns:a16="http://schemas.microsoft.com/office/drawing/2014/main" id="{0CCCA696-DF4F-47C9-ABC1-6CE904CE6A52}"/>
            </a:ext>
          </a:extLst>
        </xdr:cNvPr>
        <xdr:cNvPicPr>
          <a:picLocks noChangeAspect="1"/>
        </xdr:cNvPicPr>
      </xdr:nvPicPr>
      <xdr:blipFill>
        <a:blip xmlns:r="http://schemas.openxmlformats.org/officeDocument/2006/relationships" r:embed="rId1"/>
        <a:stretch>
          <a:fillRect/>
        </a:stretch>
      </xdr:blipFill>
      <xdr:spPr>
        <a:xfrm>
          <a:off x="7934224" y="1250373"/>
          <a:ext cx="2152650" cy="2193003"/>
        </a:xfrm>
        <a:prstGeom prst="rect">
          <a:avLst/>
        </a:prstGeom>
      </xdr:spPr>
    </xdr:pic>
    <xdr:clientData/>
  </xdr:twoCellAnchor>
  <xdr:twoCellAnchor editAs="oneCell">
    <xdr:from>
      <xdr:col>4</xdr:col>
      <xdr:colOff>1121251</xdr:colOff>
      <xdr:row>4</xdr:row>
      <xdr:rowOff>47625</xdr:rowOff>
    </xdr:from>
    <xdr:to>
      <xdr:col>4</xdr:col>
      <xdr:colOff>2664301</xdr:colOff>
      <xdr:row>4</xdr:row>
      <xdr:rowOff>2207895</xdr:rowOff>
    </xdr:to>
    <xdr:pic>
      <xdr:nvPicPr>
        <xdr:cNvPr id="6" name="Picture 5">
          <a:extLst>
            <a:ext uri="{FF2B5EF4-FFF2-40B4-BE49-F238E27FC236}">
              <a16:creationId xmlns:a16="http://schemas.microsoft.com/office/drawing/2014/main" id="{3CBFE52D-992E-2668-74DD-6150D1235BC0}"/>
            </a:ext>
          </a:extLst>
        </xdr:cNvPr>
        <xdr:cNvPicPr>
          <a:picLocks noChangeAspect="1"/>
        </xdr:cNvPicPr>
      </xdr:nvPicPr>
      <xdr:blipFill>
        <a:blip xmlns:r="http://schemas.openxmlformats.org/officeDocument/2006/relationships" r:embed="rId2"/>
        <a:stretch>
          <a:fillRect/>
        </a:stretch>
      </xdr:blipFill>
      <xdr:spPr>
        <a:xfrm>
          <a:off x="8239024" y="3511261"/>
          <a:ext cx="1543050" cy="2160270"/>
        </a:xfrm>
        <a:prstGeom prst="rect">
          <a:avLst/>
        </a:prstGeom>
      </xdr:spPr>
    </xdr:pic>
    <xdr:clientData/>
  </xdr:twoCellAnchor>
  <xdr:twoCellAnchor editAs="oneCell">
    <xdr:from>
      <xdr:col>4</xdr:col>
      <xdr:colOff>809718</xdr:colOff>
      <xdr:row>5</xdr:row>
      <xdr:rowOff>38100</xdr:rowOff>
    </xdr:from>
    <xdr:to>
      <xdr:col>4</xdr:col>
      <xdr:colOff>2975835</xdr:colOff>
      <xdr:row>5</xdr:row>
      <xdr:rowOff>2209800</xdr:rowOff>
    </xdr:to>
    <xdr:pic>
      <xdr:nvPicPr>
        <xdr:cNvPr id="8" name="Picture 7">
          <a:extLst>
            <a:ext uri="{FF2B5EF4-FFF2-40B4-BE49-F238E27FC236}">
              <a16:creationId xmlns:a16="http://schemas.microsoft.com/office/drawing/2014/main" id="{6346986F-4A11-2278-749A-81ECEBB72B70}"/>
            </a:ext>
          </a:extLst>
        </xdr:cNvPr>
        <xdr:cNvPicPr>
          <a:picLocks noChangeAspect="1"/>
        </xdr:cNvPicPr>
      </xdr:nvPicPr>
      <xdr:blipFill>
        <a:blip xmlns:r="http://schemas.openxmlformats.org/officeDocument/2006/relationships" r:embed="rId3"/>
        <a:stretch>
          <a:fillRect/>
        </a:stretch>
      </xdr:blipFill>
      <xdr:spPr>
        <a:xfrm>
          <a:off x="7927491" y="5753100"/>
          <a:ext cx="2166117" cy="2171700"/>
        </a:xfrm>
        <a:prstGeom prst="rect">
          <a:avLst/>
        </a:prstGeom>
      </xdr:spPr>
    </xdr:pic>
    <xdr:clientData/>
  </xdr:twoCellAnchor>
  <xdr:twoCellAnchor editAs="oneCell">
    <xdr:from>
      <xdr:col>5</xdr:col>
      <xdr:colOff>1151072</xdr:colOff>
      <xdr:row>4</xdr:row>
      <xdr:rowOff>57150</xdr:rowOff>
    </xdr:from>
    <xdr:to>
      <xdr:col>5</xdr:col>
      <xdr:colOff>2694122</xdr:colOff>
      <xdr:row>4</xdr:row>
      <xdr:rowOff>2217420</xdr:rowOff>
    </xdr:to>
    <xdr:pic>
      <xdr:nvPicPr>
        <xdr:cNvPr id="9" name="Picture 8">
          <a:extLst>
            <a:ext uri="{FF2B5EF4-FFF2-40B4-BE49-F238E27FC236}">
              <a16:creationId xmlns:a16="http://schemas.microsoft.com/office/drawing/2014/main" id="{0D417F67-524B-4DD3-88B5-96A288AD2692}"/>
            </a:ext>
          </a:extLst>
        </xdr:cNvPr>
        <xdr:cNvPicPr>
          <a:picLocks noChangeAspect="1"/>
        </xdr:cNvPicPr>
      </xdr:nvPicPr>
      <xdr:blipFill>
        <a:blip xmlns:r="http://schemas.openxmlformats.org/officeDocument/2006/relationships" r:embed="rId2"/>
        <a:stretch>
          <a:fillRect/>
        </a:stretch>
      </xdr:blipFill>
      <xdr:spPr>
        <a:xfrm>
          <a:off x="12026890" y="3520786"/>
          <a:ext cx="1543050" cy="2160270"/>
        </a:xfrm>
        <a:prstGeom prst="rect">
          <a:avLst/>
        </a:prstGeom>
      </xdr:spPr>
    </xdr:pic>
    <xdr:clientData/>
  </xdr:twoCellAnchor>
  <xdr:twoCellAnchor editAs="oneCell">
    <xdr:from>
      <xdr:col>5</xdr:col>
      <xdr:colOff>839539</xdr:colOff>
      <xdr:row>5</xdr:row>
      <xdr:rowOff>38100</xdr:rowOff>
    </xdr:from>
    <xdr:to>
      <xdr:col>5</xdr:col>
      <xdr:colOff>3005656</xdr:colOff>
      <xdr:row>5</xdr:row>
      <xdr:rowOff>2209800</xdr:rowOff>
    </xdr:to>
    <xdr:pic>
      <xdr:nvPicPr>
        <xdr:cNvPr id="10" name="Picture 9">
          <a:extLst>
            <a:ext uri="{FF2B5EF4-FFF2-40B4-BE49-F238E27FC236}">
              <a16:creationId xmlns:a16="http://schemas.microsoft.com/office/drawing/2014/main" id="{D781BDB7-2BC7-4679-BFB2-C8F6424275D1}"/>
            </a:ext>
          </a:extLst>
        </xdr:cNvPr>
        <xdr:cNvPicPr>
          <a:picLocks noChangeAspect="1"/>
        </xdr:cNvPicPr>
      </xdr:nvPicPr>
      <xdr:blipFill>
        <a:blip xmlns:r="http://schemas.openxmlformats.org/officeDocument/2006/relationships" r:embed="rId3"/>
        <a:stretch>
          <a:fillRect/>
        </a:stretch>
      </xdr:blipFill>
      <xdr:spPr>
        <a:xfrm>
          <a:off x="11715357" y="5753100"/>
          <a:ext cx="2166117" cy="2171700"/>
        </a:xfrm>
        <a:prstGeom prst="rect">
          <a:avLst/>
        </a:prstGeom>
      </xdr:spPr>
    </xdr:pic>
    <xdr:clientData/>
  </xdr:twoCellAnchor>
  <xdr:twoCellAnchor editAs="oneCell">
    <xdr:from>
      <xdr:col>4</xdr:col>
      <xdr:colOff>816451</xdr:colOff>
      <xdr:row>6</xdr:row>
      <xdr:rowOff>57150</xdr:rowOff>
    </xdr:from>
    <xdr:to>
      <xdr:col>4</xdr:col>
      <xdr:colOff>2969101</xdr:colOff>
      <xdr:row>6</xdr:row>
      <xdr:rowOff>2199325</xdr:rowOff>
    </xdr:to>
    <xdr:pic>
      <xdr:nvPicPr>
        <xdr:cNvPr id="11" name="Picture 10">
          <a:extLst>
            <a:ext uri="{FF2B5EF4-FFF2-40B4-BE49-F238E27FC236}">
              <a16:creationId xmlns:a16="http://schemas.microsoft.com/office/drawing/2014/main" id="{10D6FAC5-E79A-792F-8A6F-0F7072430EB2}"/>
            </a:ext>
          </a:extLst>
        </xdr:cNvPr>
        <xdr:cNvPicPr>
          <a:picLocks noChangeAspect="1"/>
        </xdr:cNvPicPr>
      </xdr:nvPicPr>
      <xdr:blipFill>
        <a:blip xmlns:r="http://schemas.openxmlformats.org/officeDocument/2006/relationships" r:embed="rId4"/>
        <a:stretch>
          <a:fillRect/>
        </a:stretch>
      </xdr:blipFill>
      <xdr:spPr>
        <a:xfrm>
          <a:off x="7934224" y="8023514"/>
          <a:ext cx="2152650" cy="2142175"/>
        </a:xfrm>
        <a:prstGeom prst="rect">
          <a:avLst/>
        </a:prstGeom>
      </xdr:spPr>
    </xdr:pic>
    <xdr:clientData/>
  </xdr:twoCellAnchor>
  <xdr:twoCellAnchor editAs="oneCell">
    <xdr:from>
      <xdr:col>5</xdr:col>
      <xdr:colOff>846272</xdr:colOff>
      <xdr:row>6</xdr:row>
      <xdr:rowOff>38100</xdr:rowOff>
    </xdr:from>
    <xdr:to>
      <xdr:col>5</xdr:col>
      <xdr:colOff>2998922</xdr:colOff>
      <xdr:row>6</xdr:row>
      <xdr:rowOff>2180275</xdr:rowOff>
    </xdr:to>
    <xdr:pic>
      <xdr:nvPicPr>
        <xdr:cNvPr id="13" name="Picture 12">
          <a:extLst>
            <a:ext uri="{FF2B5EF4-FFF2-40B4-BE49-F238E27FC236}">
              <a16:creationId xmlns:a16="http://schemas.microsoft.com/office/drawing/2014/main" id="{FB849878-1E13-430A-9E8F-346B08D257B7}"/>
            </a:ext>
          </a:extLst>
        </xdr:cNvPr>
        <xdr:cNvPicPr>
          <a:picLocks noChangeAspect="1"/>
        </xdr:cNvPicPr>
      </xdr:nvPicPr>
      <xdr:blipFill>
        <a:blip xmlns:r="http://schemas.openxmlformats.org/officeDocument/2006/relationships" r:embed="rId4"/>
        <a:stretch>
          <a:fillRect/>
        </a:stretch>
      </xdr:blipFill>
      <xdr:spPr>
        <a:xfrm>
          <a:off x="11722090" y="8004464"/>
          <a:ext cx="2152650" cy="2142175"/>
        </a:xfrm>
        <a:prstGeom prst="rect">
          <a:avLst/>
        </a:prstGeom>
      </xdr:spPr>
    </xdr:pic>
    <xdr:clientData/>
  </xdr:twoCellAnchor>
  <xdr:twoCellAnchor editAs="oneCell">
    <xdr:from>
      <xdr:col>4</xdr:col>
      <xdr:colOff>285750</xdr:colOff>
      <xdr:row>7</xdr:row>
      <xdr:rowOff>49265</xdr:rowOff>
    </xdr:from>
    <xdr:to>
      <xdr:col>4</xdr:col>
      <xdr:colOff>3565858</xdr:colOff>
      <xdr:row>7</xdr:row>
      <xdr:rowOff>2177143</xdr:rowOff>
    </xdr:to>
    <xdr:pic>
      <xdr:nvPicPr>
        <xdr:cNvPr id="20" name="Picture 19">
          <a:extLst>
            <a:ext uri="{FF2B5EF4-FFF2-40B4-BE49-F238E27FC236}">
              <a16:creationId xmlns:a16="http://schemas.microsoft.com/office/drawing/2014/main" id="{F1BFECFF-D9E5-13BD-940D-72B0939B928E}"/>
            </a:ext>
          </a:extLst>
        </xdr:cNvPr>
        <xdr:cNvPicPr>
          <a:picLocks noChangeAspect="1"/>
        </xdr:cNvPicPr>
      </xdr:nvPicPr>
      <xdr:blipFill rotWithShape="1">
        <a:blip xmlns:r="http://schemas.openxmlformats.org/officeDocument/2006/relationships" r:embed="rId5"/>
        <a:srcRect l="8495" r="4513"/>
        <a:stretch/>
      </xdr:blipFill>
      <xdr:spPr>
        <a:xfrm>
          <a:off x="10110107" y="10241015"/>
          <a:ext cx="3280108" cy="2127878"/>
        </a:xfrm>
        <a:prstGeom prst="rect">
          <a:avLst/>
        </a:prstGeom>
      </xdr:spPr>
    </xdr:pic>
    <xdr:clientData/>
  </xdr:twoCellAnchor>
  <xdr:twoCellAnchor editAs="oneCell">
    <xdr:from>
      <xdr:col>5</xdr:col>
      <xdr:colOff>337365</xdr:colOff>
      <xdr:row>7</xdr:row>
      <xdr:rowOff>13607</xdr:rowOff>
    </xdr:from>
    <xdr:to>
      <xdr:col>5</xdr:col>
      <xdr:colOff>3507830</xdr:colOff>
      <xdr:row>7</xdr:row>
      <xdr:rowOff>2141114</xdr:rowOff>
    </xdr:to>
    <xdr:pic>
      <xdr:nvPicPr>
        <xdr:cNvPr id="21" name="Picture 20">
          <a:extLst>
            <a:ext uri="{FF2B5EF4-FFF2-40B4-BE49-F238E27FC236}">
              <a16:creationId xmlns:a16="http://schemas.microsoft.com/office/drawing/2014/main" id="{D9F7AA13-6F64-447C-F12A-648124B3976D}"/>
            </a:ext>
          </a:extLst>
        </xdr:cNvPr>
        <xdr:cNvPicPr>
          <a:picLocks noChangeAspect="1"/>
        </xdr:cNvPicPr>
      </xdr:nvPicPr>
      <xdr:blipFill>
        <a:blip xmlns:r="http://schemas.openxmlformats.org/officeDocument/2006/relationships" r:embed="rId6"/>
        <a:stretch>
          <a:fillRect/>
        </a:stretch>
      </xdr:blipFill>
      <xdr:spPr>
        <a:xfrm>
          <a:off x="11213183" y="10231334"/>
          <a:ext cx="3170465" cy="2127507"/>
        </a:xfrm>
        <a:prstGeom prst="rect">
          <a:avLst/>
        </a:prstGeom>
      </xdr:spPr>
    </xdr:pic>
    <xdr:clientData/>
  </xdr:twoCellAnchor>
  <xdr:twoCellAnchor editAs="oneCell">
    <xdr:from>
      <xdr:col>4</xdr:col>
      <xdr:colOff>30925</xdr:colOff>
      <xdr:row>8</xdr:row>
      <xdr:rowOff>40821</xdr:rowOff>
    </xdr:from>
    <xdr:to>
      <xdr:col>5</xdr:col>
      <xdr:colOff>79029</xdr:colOff>
      <xdr:row>8</xdr:row>
      <xdr:rowOff>2190748</xdr:rowOff>
    </xdr:to>
    <xdr:pic>
      <xdr:nvPicPr>
        <xdr:cNvPr id="22" name="Picture 21">
          <a:extLst>
            <a:ext uri="{FF2B5EF4-FFF2-40B4-BE49-F238E27FC236}">
              <a16:creationId xmlns:a16="http://schemas.microsoft.com/office/drawing/2014/main" id="{6C570F25-D3BF-FC87-1A18-A6C3A7761E7E}"/>
            </a:ext>
          </a:extLst>
        </xdr:cNvPr>
        <xdr:cNvPicPr>
          <a:picLocks noChangeAspect="1"/>
        </xdr:cNvPicPr>
      </xdr:nvPicPr>
      <xdr:blipFill rotWithShape="1">
        <a:blip xmlns:r="http://schemas.openxmlformats.org/officeDocument/2006/relationships" r:embed="rId7"/>
        <a:srcRect t="5555"/>
        <a:stretch/>
      </xdr:blipFill>
      <xdr:spPr>
        <a:xfrm>
          <a:off x="9855282" y="12477750"/>
          <a:ext cx="3817283" cy="2149927"/>
        </a:xfrm>
        <a:prstGeom prst="rect">
          <a:avLst/>
        </a:prstGeom>
      </xdr:spPr>
    </xdr:pic>
    <xdr:clientData/>
  </xdr:twoCellAnchor>
  <xdr:twoCellAnchor editAs="oneCell">
    <xdr:from>
      <xdr:col>4</xdr:col>
      <xdr:colOff>205491</xdr:colOff>
      <xdr:row>8</xdr:row>
      <xdr:rowOff>2231572</xdr:rowOff>
    </xdr:from>
    <xdr:to>
      <xdr:col>4</xdr:col>
      <xdr:colOff>3580062</xdr:colOff>
      <xdr:row>9</xdr:row>
      <xdr:rowOff>2213682</xdr:rowOff>
    </xdr:to>
    <xdr:pic>
      <xdr:nvPicPr>
        <xdr:cNvPr id="24" name="Picture 23" descr="A house with a cross section&#10;&#10;Description automatically generated">
          <a:extLst>
            <a:ext uri="{FF2B5EF4-FFF2-40B4-BE49-F238E27FC236}">
              <a16:creationId xmlns:a16="http://schemas.microsoft.com/office/drawing/2014/main" id="{14A9CFBB-FC38-2F94-25C4-0D60777C13C9}"/>
            </a:ext>
          </a:extLst>
        </xdr:cNvPr>
        <xdr:cNvPicPr>
          <a:picLocks noChangeAspect="1"/>
        </xdr:cNvPicPr>
      </xdr:nvPicPr>
      <xdr:blipFill>
        <a:blip xmlns:r="http://schemas.openxmlformats.org/officeDocument/2006/relationships" r:embed="rId8"/>
        <a:stretch>
          <a:fillRect/>
        </a:stretch>
      </xdr:blipFill>
      <xdr:spPr>
        <a:xfrm>
          <a:off x="7323264" y="14700663"/>
          <a:ext cx="3374571" cy="2233474"/>
        </a:xfrm>
        <a:prstGeom prst="rect">
          <a:avLst/>
        </a:prstGeom>
      </xdr:spPr>
    </xdr:pic>
    <xdr:clientData/>
  </xdr:twoCellAnchor>
  <xdr:twoCellAnchor editAs="oneCell">
    <xdr:from>
      <xdr:col>5</xdr:col>
      <xdr:colOff>255722</xdr:colOff>
      <xdr:row>9</xdr:row>
      <xdr:rowOff>13608</xdr:rowOff>
    </xdr:from>
    <xdr:to>
      <xdr:col>5</xdr:col>
      <xdr:colOff>3589472</xdr:colOff>
      <xdr:row>9</xdr:row>
      <xdr:rowOff>2206944</xdr:rowOff>
    </xdr:to>
    <xdr:pic>
      <xdr:nvPicPr>
        <xdr:cNvPr id="25" name="Picture 24">
          <a:extLst>
            <a:ext uri="{FF2B5EF4-FFF2-40B4-BE49-F238E27FC236}">
              <a16:creationId xmlns:a16="http://schemas.microsoft.com/office/drawing/2014/main" id="{020FA89F-D160-8428-1CB3-7750EC7E66DD}"/>
            </a:ext>
          </a:extLst>
        </xdr:cNvPr>
        <xdr:cNvPicPr>
          <a:picLocks noChangeAspect="1"/>
        </xdr:cNvPicPr>
      </xdr:nvPicPr>
      <xdr:blipFill>
        <a:blip xmlns:r="http://schemas.openxmlformats.org/officeDocument/2006/relationships" r:embed="rId9"/>
        <a:stretch>
          <a:fillRect/>
        </a:stretch>
      </xdr:blipFill>
      <xdr:spPr>
        <a:xfrm>
          <a:off x="11131540" y="14734063"/>
          <a:ext cx="3333750" cy="2193336"/>
        </a:xfrm>
        <a:prstGeom prst="rect">
          <a:avLst/>
        </a:prstGeom>
      </xdr:spPr>
    </xdr:pic>
    <xdr:clientData/>
  </xdr:twoCellAnchor>
  <xdr:twoCellAnchor editAs="oneCell">
    <xdr:from>
      <xdr:col>5</xdr:col>
      <xdr:colOff>6432</xdr:colOff>
      <xdr:row>8</xdr:row>
      <xdr:rowOff>16328</xdr:rowOff>
    </xdr:from>
    <xdr:to>
      <xdr:col>6</xdr:col>
      <xdr:colOff>54537</xdr:colOff>
      <xdr:row>8</xdr:row>
      <xdr:rowOff>2166255</xdr:rowOff>
    </xdr:to>
    <xdr:pic>
      <xdr:nvPicPr>
        <xdr:cNvPr id="26" name="Picture 25">
          <a:extLst>
            <a:ext uri="{FF2B5EF4-FFF2-40B4-BE49-F238E27FC236}">
              <a16:creationId xmlns:a16="http://schemas.microsoft.com/office/drawing/2014/main" id="{181BA655-E055-431B-BC30-718F08E7165E}"/>
            </a:ext>
          </a:extLst>
        </xdr:cNvPr>
        <xdr:cNvPicPr>
          <a:picLocks noChangeAspect="1"/>
        </xdr:cNvPicPr>
      </xdr:nvPicPr>
      <xdr:blipFill rotWithShape="1">
        <a:blip xmlns:r="http://schemas.openxmlformats.org/officeDocument/2006/relationships" r:embed="rId7"/>
        <a:srcRect t="5555"/>
        <a:stretch/>
      </xdr:blipFill>
      <xdr:spPr>
        <a:xfrm>
          <a:off x="13599968" y="12453257"/>
          <a:ext cx="3817283" cy="21499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7621</xdr:colOff>
      <xdr:row>21</xdr:row>
      <xdr:rowOff>141277</xdr:rowOff>
    </xdr:to>
    <xdr:pic>
      <xdr:nvPicPr>
        <xdr:cNvPr id="3" name="Picture 2">
          <a:extLst>
            <a:ext uri="{FF2B5EF4-FFF2-40B4-BE49-F238E27FC236}">
              <a16:creationId xmlns:a16="http://schemas.microsoft.com/office/drawing/2014/main" id="{9242CA91-552D-42A1-8645-013A15DD3A2A}"/>
            </a:ext>
          </a:extLst>
        </xdr:cNvPr>
        <xdr:cNvPicPr>
          <a:picLocks noChangeAspect="1"/>
        </xdr:cNvPicPr>
      </xdr:nvPicPr>
      <xdr:blipFill>
        <a:blip xmlns:r="http://schemas.openxmlformats.org/officeDocument/2006/relationships" r:embed="rId1"/>
        <a:stretch>
          <a:fillRect/>
        </a:stretch>
      </xdr:blipFill>
      <xdr:spPr>
        <a:xfrm>
          <a:off x="1" y="1"/>
          <a:ext cx="4491990" cy="3981756"/>
        </a:xfrm>
        <a:prstGeom prst="rect">
          <a:avLst/>
        </a:prstGeom>
      </xdr:spPr>
    </xdr:pic>
    <xdr:clientData/>
  </xdr:twoCellAnchor>
  <xdr:twoCellAnchor editAs="oneCell">
    <xdr:from>
      <xdr:col>7</xdr:col>
      <xdr:colOff>1</xdr:colOff>
      <xdr:row>0</xdr:row>
      <xdr:rowOff>1</xdr:rowOff>
    </xdr:from>
    <xdr:to>
      <xdr:col>13</xdr:col>
      <xdr:colOff>258262</xdr:colOff>
      <xdr:row>21</xdr:row>
      <xdr:rowOff>170329</xdr:rowOff>
    </xdr:to>
    <xdr:pic>
      <xdr:nvPicPr>
        <xdr:cNvPr id="4" name="Picture 3">
          <a:extLst>
            <a:ext uri="{FF2B5EF4-FFF2-40B4-BE49-F238E27FC236}">
              <a16:creationId xmlns:a16="http://schemas.microsoft.com/office/drawing/2014/main" id="{FBD4F2FC-24CD-51CA-3549-CE9DE45196A1}"/>
            </a:ext>
          </a:extLst>
        </xdr:cNvPr>
        <xdr:cNvPicPr>
          <a:picLocks noChangeAspect="1"/>
        </xdr:cNvPicPr>
      </xdr:nvPicPr>
      <xdr:blipFill>
        <a:blip xmlns:r="http://schemas.openxmlformats.org/officeDocument/2006/relationships" r:embed="rId2"/>
        <a:stretch>
          <a:fillRect/>
        </a:stretch>
      </xdr:blipFill>
      <xdr:spPr>
        <a:xfrm>
          <a:off x="4486836" y="1"/>
          <a:ext cx="4100310" cy="4029634"/>
        </a:xfrm>
        <a:prstGeom prst="rect">
          <a:avLst/>
        </a:prstGeom>
      </xdr:spPr>
    </xdr:pic>
    <xdr:clientData/>
  </xdr:twoCellAnchor>
  <xdr:twoCellAnchor editAs="oneCell">
    <xdr:from>
      <xdr:col>14</xdr:col>
      <xdr:colOff>0</xdr:colOff>
      <xdr:row>0</xdr:row>
      <xdr:rowOff>0</xdr:rowOff>
    </xdr:from>
    <xdr:to>
      <xdr:col>21</xdr:col>
      <xdr:colOff>18862</xdr:colOff>
      <xdr:row>33</xdr:row>
      <xdr:rowOff>114300</xdr:rowOff>
    </xdr:to>
    <xdr:pic>
      <xdr:nvPicPr>
        <xdr:cNvPr id="5" name="Picture 4">
          <a:extLst>
            <a:ext uri="{FF2B5EF4-FFF2-40B4-BE49-F238E27FC236}">
              <a16:creationId xmlns:a16="http://schemas.microsoft.com/office/drawing/2014/main" id="{2BBF08B9-3947-295B-5115-B78CF9273020}"/>
            </a:ext>
          </a:extLst>
        </xdr:cNvPr>
        <xdr:cNvPicPr>
          <a:picLocks noChangeAspect="1"/>
        </xdr:cNvPicPr>
      </xdr:nvPicPr>
      <xdr:blipFill>
        <a:blip xmlns:r="http://schemas.openxmlformats.org/officeDocument/2006/relationships" r:embed="rId3"/>
        <a:stretch>
          <a:fillRect/>
        </a:stretch>
      </xdr:blipFill>
      <xdr:spPr>
        <a:xfrm>
          <a:off x="9067800" y="0"/>
          <a:ext cx="4552762" cy="6400800"/>
        </a:xfrm>
        <a:prstGeom prst="rect">
          <a:avLst/>
        </a:prstGeom>
      </xdr:spPr>
    </xdr:pic>
    <xdr:clientData/>
  </xdr:twoCellAnchor>
  <xdr:twoCellAnchor editAs="oneCell">
    <xdr:from>
      <xdr:col>0</xdr:col>
      <xdr:colOff>0</xdr:colOff>
      <xdr:row>22</xdr:row>
      <xdr:rowOff>65313</xdr:rowOff>
    </xdr:from>
    <xdr:to>
      <xdr:col>6</xdr:col>
      <xdr:colOff>636813</xdr:colOff>
      <xdr:row>41</xdr:row>
      <xdr:rowOff>141512</xdr:rowOff>
    </xdr:to>
    <xdr:pic>
      <xdr:nvPicPr>
        <xdr:cNvPr id="9" name="Picture 8">
          <a:extLst>
            <a:ext uri="{FF2B5EF4-FFF2-40B4-BE49-F238E27FC236}">
              <a16:creationId xmlns:a16="http://schemas.microsoft.com/office/drawing/2014/main" id="{20FAD15D-7019-5C3F-EED8-D422B0C3263C}"/>
            </a:ext>
          </a:extLst>
        </xdr:cNvPr>
        <xdr:cNvPicPr>
          <a:picLocks noChangeAspect="1"/>
        </xdr:cNvPicPr>
      </xdr:nvPicPr>
      <xdr:blipFill>
        <a:blip xmlns:r="http://schemas.openxmlformats.org/officeDocument/2006/relationships" r:embed="rId4"/>
        <a:stretch>
          <a:fillRect/>
        </a:stretch>
      </xdr:blipFill>
      <xdr:spPr>
        <a:xfrm>
          <a:off x="0" y="4136570"/>
          <a:ext cx="4490356" cy="3592285"/>
        </a:xfrm>
        <a:prstGeom prst="rect">
          <a:avLst/>
        </a:prstGeom>
      </xdr:spPr>
    </xdr:pic>
    <xdr:clientData/>
  </xdr:twoCellAnchor>
  <xdr:twoCellAnchor editAs="oneCell">
    <xdr:from>
      <xdr:col>7</xdr:col>
      <xdr:colOff>0</xdr:colOff>
      <xdr:row>22</xdr:row>
      <xdr:rowOff>0</xdr:rowOff>
    </xdr:from>
    <xdr:to>
      <xdr:col>13</xdr:col>
      <xdr:colOff>571245</xdr:colOff>
      <xdr:row>42</xdr:row>
      <xdr:rowOff>20139</xdr:rowOff>
    </xdr:to>
    <xdr:pic>
      <xdr:nvPicPr>
        <xdr:cNvPr id="11" name="Picture 10">
          <a:extLst>
            <a:ext uri="{FF2B5EF4-FFF2-40B4-BE49-F238E27FC236}">
              <a16:creationId xmlns:a16="http://schemas.microsoft.com/office/drawing/2014/main" id="{4407FD89-7190-4548-A162-18FF84369A06}"/>
            </a:ext>
          </a:extLst>
        </xdr:cNvPr>
        <xdr:cNvPicPr>
          <a:picLocks noChangeAspect="1"/>
        </xdr:cNvPicPr>
      </xdr:nvPicPr>
      <xdr:blipFill>
        <a:blip xmlns:r="http://schemas.openxmlformats.org/officeDocument/2006/relationships" r:embed="rId5"/>
        <a:stretch>
          <a:fillRect/>
        </a:stretch>
      </xdr:blipFill>
      <xdr:spPr>
        <a:xfrm>
          <a:off x="4495800" y="4071257"/>
          <a:ext cx="4428598" cy="3717472"/>
        </a:xfrm>
        <a:prstGeom prst="rect">
          <a:avLst/>
        </a:prstGeom>
      </xdr:spPr>
    </xdr:pic>
    <xdr:clientData/>
  </xdr:twoCellAnchor>
  <xdr:twoCellAnchor editAs="oneCell">
    <xdr:from>
      <xdr:col>0</xdr:col>
      <xdr:colOff>0</xdr:colOff>
      <xdr:row>45</xdr:row>
      <xdr:rowOff>1</xdr:rowOff>
    </xdr:from>
    <xdr:to>
      <xdr:col>10</xdr:col>
      <xdr:colOff>407838</xdr:colOff>
      <xdr:row>70</xdr:row>
      <xdr:rowOff>112668</xdr:rowOff>
    </xdr:to>
    <xdr:pic>
      <xdr:nvPicPr>
        <xdr:cNvPr id="2" name="Picture 1">
          <a:extLst>
            <a:ext uri="{FF2B5EF4-FFF2-40B4-BE49-F238E27FC236}">
              <a16:creationId xmlns:a16="http://schemas.microsoft.com/office/drawing/2014/main" id="{57BA9D77-D1C6-50DE-881D-F51EC60EB00D}"/>
            </a:ext>
          </a:extLst>
        </xdr:cNvPr>
        <xdr:cNvPicPr>
          <a:picLocks noChangeAspect="1"/>
        </xdr:cNvPicPr>
      </xdr:nvPicPr>
      <xdr:blipFill>
        <a:blip xmlns:r="http://schemas.openxmlformats.org/officeDocument/2006/relationships" r:embed="rId6"/>
        <a:stretch>
          <a:fillRect/>
        </a:stretch>
      </xdr:blipFill>
      <xdr:spPr>
        <a:xfrm>
          <a:off x="0" y="7960180"/>
          <a:ext cx="6803195" cy="4531178"/>
        </a:xfrm>
        <a:prstGeom prst="rect">
          <a:avLst/>
        </a:prstGeom>
      </xdr:spPr>
    </xdr:pic>
    <xdr:clientData/>
  </xdr:twoCellAnchor>
  <xdr:twoCellAnchor editAs="oneCell">
    <xdr:from>
      <xdr:col>11</xdr:col>
      <xdr:colOff>1</xdr:colOff>
      <xdr:row>45</xdr:row>
      <xdr:rowOff>0</xdr:rowOff>
    </xdr:from>
    <xdr:to>
      <xdr:col>20</xdr:col>
      <xdr:colOff>52248</xdr:colOff>
      <xdr:row>70</xdr:row>
      <xdr:rowOff>122464</xdr:rowOff>
    </xdr:to>
    <xdr:pic>
      <xdr:nvPicPr>
        <xdr:cNvPr id="6" name="Picture 5">
          <a:extLst>
            <a:ext uri="{FF2B5EF4-FFF2-40B4-BE49-F238E27FC236}">
              <a16:creationId xmlns:a16="http://schemas.microsoft.com/office/drawing/2014/main" id="{84295DD2-A70A-6EE8-6222-4F41BDFE556B}"/>
            </a:ext>
          </a:extLst>
        </xdr:cNvPr>
        <xdr:cNvPicPr>
          <a:picLocks noChangeAspect="1"/>
        </xdr:cNvPicPr>
      </xdr:nvPicPr>
      <xdr:blipFill>
        <a:blip xmlns:r="http://schemas.openxmlformats.org/officeDocument/2006/relationships" r:embed="rId7"/>
        <a:stretch>
          <a:fillRect/>
        </a:stretch>
      </xdr:blipFill>
      <xdr:spPr>
        <a:xfrm>
          <a:off x="7034894" y="7960179"/>
          <a:ext cx="5808068" cy="4544785"/>
        </a:xfrm>
        <a:prstGeom prst="rect">
          <a:avLst/>
        </a:prstGeom>
      </xdr:spPr>
    </xdr:pic>
    <xdr:clientData/>
  </xdr:twoCellAnchor>
  <xdr:twoCellAnchor editAs="oneCell">
    <xdr:from>
      <xdr:col>11</xdr:col>
      <xdr:colOff>0</xdr:colOff>
      <xdr:row>71</xdr:row>
      <xdr:rowOff>0</xdr:rowOff>
    </xdr:from>
    <xdr:to>
      <xdr:col>20</xdr:col>
      <xdr:colOff>0</xdr:colOff>
      <xdr:row>91</xdr:row>
      <xdr:rowOff>148358</xdr:rowOff>
    </xdr:to>
    <xdr:pic>
      <xdr:nvPicPr>
        <xdr:cNvPr id="8" name="Picture 7">
          <a:extLst>
            <a:ext uri="{FF2B5EF4-FFF2-40B4-BE49-F238E27FC236}">
              <a16:creationId xmlns:a16="http://schemas.microsoft.com/office/drawing/2014/main" id="{E73064E1-ACB2-4BB4-AC1A-CE05E1A2C08B}"/>
            </a:ext>
          </a:extLst>
        </xdr:cNvPr>
        <xdr:cNvPicPr>
          <a:picLocks noChangeAspect="1"/>
        </xdr:cNvPicPr>
      </xdr:nvPicPr>
      <xdr:blipFill>
        <a:blip xmlns:r="http://schemas.openxmlformats.org/officeDocument/2006/relationships" r:embed="rId8"/>
        <a:stretch>
          <a:fillRect/>
        </a:stretch>
      </xdr:blipFill>
      <xdr:spPr>
        <a:xfrm>
          <a:off x="7034893" y="12559393"/>
          <a:ext cx="5755821" cy="3686215"/>
        </a:xfrm>
        <a:prstGeom prst="rect">
          <a:avLst/>
        </a:prstGeom>
      </xdr:spPr>
    </xdr:pic>
    <xdr:clientData/>
  </xdr:twoCellAnchor>
  <xdr:twoCellAnchor editAs="oneCell">
    <xdr:from>
      <xdr:col>0</xdr:col>
      <xdr:colOff>0</xdr:colOff>
      <xdr:row>71</xdr:row>
      <xdr:rowOff>1</xdr:rowOff>
    </xdr:from>
    <xdr:to>
      <xdr:col>10</xdr:col>
      <xdr:colOff>353786</xdr:colOff>
      <xdr:row>100</xdr:row>
      <xdr:rowOff>82108</xdr:rowOff>
    </xdr:to>
    <xdr:pic>
      <xdr:nvPicPr>
        <xdr:cNvPr id="10" name="Picture 9">
          <a:extLst>
            <a:ext uri="{FF2B5EF4-FFF2-40B4-BE49-F238E27FC236}">
              <a16:creationId xmlns:a16="http://schemas.microsoft.com/office/drawing/2014/main" id="{EB8B4CAB-D23E-805D-C748-EF2C4405C161}"/>
            </a:ext>
          </a:extLst>
        </xdr:cNvPr>
        <xdr:cNvPicPr>
          <a:picLocks noChangeAspect="1"/>
        </xdr:cNvPicPr>
      </xdr:nvPicPr>
      <xdr:blipFill>
        <a:blip xmlns:r="http://schemas.openxmlformats.org/officeDocument/2006/relationships" r:embed="rId9"/>
        <a:stretch>
          <a:fillRect/>
        </a:stretch>
      </xdr:blipFill>
      <xdr:spPr>
        <a:xfrm>
          <a:off x="0" y="12559394"/>
          <a:ext cx="6749143" cy="5212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sia Boyd" id="{F91648BB-E369-41CB-9C3A-8A0C48AAA1F0}" userId="S::Kasia.Boyd@arup.com::c90cb18e-2937-4dca-a140-3819afcf4dae" providerId="AD"/>
  <person displayName="Samima Saqib" id="{319D3A92-DEAF-48D5-ABF9-B3A2FD29A259}" userId="S::Samima.Saqib@arup.com::5d136ca3-b0f4-4f51-ab33-8ff6c3a821f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1" dT="2024-10-22T20:10:29.05" personId="{F91648BB-E369-41CB-9C3A-8A0C48AAA1F0}" id="{FA2A83FB-F0CF-47BE-A0EF-254DA111B586}" done="1">
    <text>Same comments, shouldn’t multiple by area. Should pull row 17 or 18</text>
  </threadedComment>
  <threadedComment ref="D21" dT="2024-10-25T16:07:05.58" personId="{319D3A92-DEAF-48D5-ABF9-B3A2FD29A259}" id="{D72BCA93-469F-4E91-9D20-DC30D3C588F8}" parentId="{FA2A83FB-F0CF-47BE-A0EF-254DA111B586}">
    <text>Agreed, formula is fixed</text>
  </threadedComment>
  <threadedComment ref="D25" dT="2024-10-22T20:10:29.05" personId="{F91648BB-E369-41CB-9C3A-8A0C48AAA1F0}" id="{97D7AED1-D795-4DC8-9355-DA63564A1896}" done="1">
    <text>Same comments, shouldn’t multiple by area. Should pull row 17 or 18</text>
  </threadedComment>
  <threadedComment ref="D25" dT="2024-10-25T16:07:05.58" personId="{319D3A92-DEAF-48D5-ABF9-B3A2FD29A259}" id="{270D41F8-79A1-4465-9273-F9375CB1EA2E}" parentId="{97D7AED1-D795-4DC8-9355-DA63564A1896}">
    <text>Agreed, formula is fixed</text>
  </threadedComment>
</ThreadedComments>
</file>

<file path=xl/threadedComments/threadedComment2.xml><?xml version="1.0" encoding="utf-8"?>
<ThreadedComments xmlns="http://schemas.microsoft.com/office/spreadsheetml/2018/threadedcomments" xmlns:x="http://schemas.openxmlformats.org/spreadsheetml/2006/main">
  <threadedComment ref="P2" dT="2024-10-25T13:16:03.36" personId="{319D3A92-DEAF-48D5-ABF9-B3A2FD29A259}" id="{4985ECB9-8B54-4A78-ABC3-31EDC11AA0A6}">
    <text>Assuming this is based on 40% (https://natural-resources.canada.ca/energy-efficiency/energy-star-canada/energy-star-for-buildings/energy-benchmarking-data-snapshots/energy-benchmarking-data-snapshots-for-all-building-types/24263)</text>
    <extLst>
      <x:ext xmlns:xltc2="http://schemas.microsoft.com/office/spreadsheetml/2020/threadedcomments2" uri="{F7C98A9C-CBB3-438F-8F68-D28B6AF4A901}">
        <xltc2:checksum>4056095853</xltc2:checksum>
        <xltc2:hyperlink startIndex="31" length="197" url="https://natural-resources.canada.ca/energy-efficiency/energy-star-canada/energy-star-for-buildings/energy-benchmarking-data-snapshots/energy-benchmarking-data-snapshots-for-all-building-types/24263"/>
      </x:ext>
    </extLst>
  </threadedComment>
  <threadedComment ref="Q2" dT="2024-10-25T13:16:03.36" personId="{319D3A92-DEAF-48D5-ABF9-B3A2FD29A259}" id="{F638A9C0-B52D-4B4F-BF1C-8AD2877E7C82}">
    <text>Assuming this is based on 40% (https://natural-resources.canada.ca/energy-efficiency/energy-star-canada/energy-star-for-buildings/energy-benchmarking-data-snapshots/energy-benchmarking-data-snapshots-for-all-building-types/24263)</text>
    <extLst>
      <x:ext xmlns:xltc2="http://schemas.microsoft.com/office/spreadsheetml/2020/threadedcomments2" uri="{F7C98A9C-CBB3-438F-8F68-D28B6AF4A901}">
        <xltc2:checksum>4056095853</xltc2:checksum>
        <xltc2:hyperlink startIndex="31" length="197" url="https://natural-resources.canada.ca/energy-efficiency/energy-star-canada/energy-star-for-buildings/energy-benchmarking-data-snapshots/energy-benchmarking-data-snapshots-for-all-building-types/24263"/>
      </x:ext>
    </extLst>
  </threadedComment>
  <threadedComment ref="R2" dT="2024-10-25T13:16:03.36" personId="{319D3A92-DEAF-48D5-ABF9-B3A2FD29A259}" id="{16D1F627-2A8D-40FA-BC3E-57C684D72155}">
    <text>Assuming this is based on 40% (https://natural-resources.canada.ca/energy-efficiency/energy-star-canada/energy-star-for-buildings/energy-benchmarking-data-snapshots/energy-benchmarking-data-snapshots-for-all-building-types/24263)</text>
    <extLst>
      <x:ext xmlns:xltc2="http://schemas.microsoft.com/office/spreadsheetml/2020/threadedcomments2" uri="{F7C98A9C-CBB3-438F-8F68-D28B6AF4A901}">
        <xltc2:checksum>4056095853</xltc2:checksum>
        <xltc2:hyperlink startIndex="31" length="197" url="https://natural-resources.canada.ca/energy-efficiency/energy-star-canada/energy-star-for-buildings/energy-benchmarking-data-snapshots/energy-benchmarking-data-snapshots-for-all-building-types/24263"/>
      </x:ext>
    </extLst>
  </threadedComment>
  <threadedComment ref="S2" dT="2024-10-25T13:16:03.36" personId="{319D3A92-DEAF-48D5-ABF9-B3A2FD29A259}" id="{3C9CBDE6-FA1A-4616-A69E-5C6A182F1850}">
    <text>Assuming this is based on 40% (https://natural-resources.canada.ca/energy-efficiency/energy-star-canada/energy-star-for-buildings/energy-benchmarking-data-snapshots/energy-benchmarking-data-snapshots-for-all-building-types/24263)</text>
    <extLst>
      <x:ext xmlns:xltc2="http://schemas.microsoft.com/office/spreadsheetml/2020/threadedcomments2" uri="{F7C98A9C-CBB3-438F-8F68-D28B6AF4A901}">
        <xltc2:checksum>4056095853</xltc2:checksum>
        <xltc2:hyperlink startIndex="31" length="197" url="https://natural-resources.canada.ca/energy-efficiency/energy-star-canada/energy-star-for-buildings/energy-benchmarking-data-snapshots/energy-benchmarking-data-snapshots-for-all-building-types/24263"/>
      </x:ext>
    </extLst>
  </threadedComment>
  <threadedComment ref="U2" dT="2024-11-20T18:52:12.01" personId="{319D3A92-DEAF-48D5-ABF9-B3A2FD29A259}" id="{1342FF4E-3105-47E7-82D4-F902005C0D87}">
    <text>Energy split for natural gas and electricty is based on the to tal energy use breakdown provided in the following link https://natural-resources.canada.ca/energy-efficiency/energy-star-canada/energy-star-for-buildings/energy-benchmarking-data-snapshots/energy-benchmarking-data-snapshots-for-all-building-types/24263</text>
    <extLst>
      <x:ext xmlns:xltc2="http://schemas.microsoft.com/office/spreadsheetml/2020/threadedcomments2" uri="{F7C98A9C-CBB3-438F-8F68-D28B6AF4A901}">
        <xltc2:checksum>3497385419</xltc2:checksum>
        <xltc2:hyperlink startIndex="119" length="197" url="https://natural-resources.canada.ca/energy-efficiency/energy-star-canada/energy-star-for-buildings/energy-benchmarking-data-snapshots/energy-benchmarking-data-snapshots-for-all-building-types/24263"/>
      </x:ext>
    </extLst>
  </threadedComment>
  <threadedComment ref="V2" dT="2024-11-20T18:52:12.01" personId="{319D3A92-DEAF-48D5-ABF9-B3A2FD29A259}" id="{B262FDDF-CAB8-4962-90E1-857F35E64988}">
    <text>Energy split for natural gas and electricty is based on the to tal energy use breakdown provided in the following link https://natural-resources.canada.ca/energy-efficiency/energy-star-canada/energy-star-for-buildings/energy-benchmarking-data-snapshots/energy-benchmarking-data-snapshots-for-all-building-types/24263</text>
    <extLst>
      <x:ext xmlns:xltc2="http://schemas.microsoft.com/office/spreadsheetml/2020/threadedcomments2" uri="{F7C98A9C-CBB3-438F-8F68-D28B6AF4A901}">
        <xltc2:checksum>3497385419</xltc2:checksum>
        <xltc2:hyperlink startIndex="119" length="197" url="https://natural-resources.canada.ca/energy-efficiency/energy-star-canada/energy-star-for-buildings/energy-benchmarking-data-snapshots/energy-benchmarking-data-snapshots-for-all-building-types/24263"/>
      </x:ext>
    </extLst>
  </threadedComment>
  <threadedComment ref="W2" dT="2024-11-20T18:52:12.01" personId="{319D3A92-DEAF-48D5-ABF9-B3A2FD29A259}" id="{6542D759-00B8-4C59-A063-A6123FA75EB9}">
    <text>Energy split for natural gas and electricty is based on the to tal energy use breakdown provided in the following link https://natural-resources.canada.ca/energy-efficiency/energy-star-canada/energy-star-for-buildings/energy-benchmarking-data-snapshots/energy-benchmarking-data-snapshots-for-all-building-types/24263</text>
    <extLst>
      <x:ext xmlns:xltc2="http://schemas.microsoft.com/office/spreadsheetml/2020/threadedcomments2" uri="{F7C98A9C-CBB3-438F-8F68-D28B6AF4A901}">
        <xltc2:checksum>3497385419</xltc2:checksum>
        <xltc2:hyperlink startIndex="119" length="197" url="https://natural-resources.canada.ca/energy-efficiency/energy-star-canada/energy-star-for-buildings/energy-benchmarking-data-snapshots/energy-benchmarking-data-snapshots-for-all-building-types/24263"/>
      </x:ext>
    </extLs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31169-E05D-4F47-931B-DE63A0C32D29}">
  <dimension ref="A3:BL32"/>
  <sheetViews>
    <sheetView workbookViewId="0">
      <selection activeCell="H36" sqref="H36"/>
    </sheetView>
  </sheetViews>
  <sheetFormatPr defaultColWidth="9" defaultRowHeight="14.25" x14ac:dyDescent="0.2"/>
  <cols>
    <col min="1" max="1" width="9" style="19"/>
    <col min="2" max="2" width="9" style="19" customWidth="1"/>
    <col min="3" max="17" width="9" style="19"/>
    <col min="18" max="18" width="3.7109375" style="19" customWidth="1"/>
    <col min="19" max="64" width="9" style="19"/>
    <col min="65" max="16384" width="9" style="18"/>
  </cols>
  <sheetData>
    <row r="3" spans="2:18" x14ac:dyDescent="0.2">
      <c r="B3" s="20"/>
      <c r="C3" s="20"/>
      <c r="D3" s="20"/>
      <c r="E3" s="20"/>
      <c r="F3" s="20"/>
      <c r="G3" s="20"/>
      <c r="H3" s="20"/>
      <c r="I3" s="20"/>
      <c r="J3" s="20"/>
      <c r="K3" s="20"/>
      <c r="L3" s="20"/>
      <c r="M3" s="20"/>
      <c r="N3" s="20"/>
      <c r="O3" s="20"/>
      <c r="P3" s="20"/>
      <c r="Q3" s="20"/>
      <c r="R3" s="20"/>
    </row>
    <row r="4" spans="2:18" x14ac:dyDescent="0.2">
      <c r="B4" s="20"/>
      <c r="C4" s="20"/>
      <c r="D4" s="20"/>
      <c r="E4" s="20"/>
      <c r="F4" s="20"/>
      <c r="G4" s="20"/>
      <c r="H4" s="20"/>
      <c r="I4" s="20"/>
      <c r="J4" s="20"/>
      <c r="K4" s="20"/>
      <c r="L4" s="20"/>
      <c r="M4" s="20"/>
      <c r="N4" s="20"/>
      <c r="O4" s="20"/>
      <c r="P4" s="20"/>
      <c r="Q4" s="20"/>
      <c r="R4" s="20"/>
    </row>
    <row r="5" spans="2:18" ht="33.75" x14ac:dyDescent="0.5">
      <c r="B5" s="204" t="s">
        <v>79</v>
      </c>
      <c r="C5" s="204"/>
      <c r="D5" s="204"/>
      <c r="E5" s="204"/>
      <c r="F5" s="204"/>
      <c r="G5" s="204"/>
      <c r="H5" s="204"/>
      <c r="I5" s="204"/>
      <c r="J5" s="204"/>
      <c r="K5" s="204"/>
      <c r="L5" s="204"/>
      <c r="M5" s="204"/>
      <c r="N5" s="204"/>
      <c r="O5" s="204"/>
      <c r="P5" s="204"/>
      <c r="Q5" s="204"/>
      <c r="R5" s="204"/>
    </row>
    <row r="6" spans="2:18" x14ac:dyDescent="0.2">
      <c r="B6" s="20"/>
      <c r="C6" s="20"/>
      <c r="D6" s="20"/>
      <c r="E6" s="20"/>
      <c r="F6" s="20"/>
      <c r="G6" s="20"/>
      <c r="H6" s="20"/>
      <c r="I6" s="20"/>
      <c r="J6" s="20"/>
      <c r="K6" s="20"/>
      <c r="L6" s="20"/>
      <c r="M6" s="20"/>
      <c r="N6" s="20"/>
      <c r="O6" s="20"/>
      <c r="P6" s="20"/>
      <c r="Q6" s="20"/>
      <c r="R6" s="20"/>
    </row>
    <row r="7" spans="2:18" ht="45.75" x14ac:dyDescent="0.2">
      <c r="B7" s="205" t="s">
        <v>239</v>
      </c>
      <c r="C7" s="206"/>
      <c r="D7" s="206"/>
      <c r="E7" s="206"/>
      <c r="F7" s="206"/>
      <c r="G7" s="206"/>
      <c r="H7" s="206"/>
      <c r="I7" s="206"/>
      <c r="J7" s="206"/>
      <c r="K7" s="206"/>
      <c r="L7" s="206"/>
      <c r="M7" s="206"/>
      <c r="N7" s="206"/>
      <c r="O7" s="206"/>
      <c r="P7" s="206"/>
      <c r="Q7" s="206"/>
      <c r="R7" s="206"/>
    </row>
    <row r="8" spans="2:18" ht="27.75" customHeight="1" x14ac:dyDescent="0.2">
      <c r="B8" s="20"/>
      <c r="C8" s="20"/>
      <c r="D8" s="20"/>
      <c r="E8" s="20"/>
      <c r="F8" s="20"/>
      <c r="G8" s="20"/>
      <c r="H8" s="20"/>
      <c r="I8" s="20"/>
      <c r="J8" s="20"/>
      <c r="K8" s="20"/>
      <c r="L8" s="20"/>
      <c r="M8" s="20"/>
      <c r="N8" s="20"/>
      <c r="O8" s="20"/>
      <c r="P8" s="20"/>
      <c r="Q8" s="20"/>
      <c r="R8" s="20"/>
    </row>
    <row r="9" spans="2:18" ht="15" x14ac:dyDescent="0.25">
      <c r="B9" s="207"/>
      <c r="C9" s="207"/>
      <c r="D9" s="207"/>
      <c r="E9" s="207"/>
      <c r="F9" s="207"/>
      <c r="G9" s="207"/>
      <c r="H9" s="207"/>
      <c r="I9" s="207"/>
      <c r="J9" s="207"/>
      <c r="K9" s="207"/>
      <c r="L9" s="207"/>
      <c r="M9" s="207"/>
      <c r="N9" s="207"/>
      <c r="O9" s="207"/>
      <c r="P9" s="207"/>
      <c r="Q9" s="207"/>
      <c r="R9" s="207"/>
    </row>
    <row r="10" spans="2:18" s="19" customFormat="1" ht="8.25" customHeight="1" x14ac:dyDescent="0.2">
      <c r="B10" s="20"/>
      <c r="C10" s="20"/>
      <c r="D10" s="20"/>
      <c r="E10" s="20"/>
      <c r="F10" s="20"/>
      <c r="G10" s="20"/>
      <c r="H10" s="20"/>
      <c r="I10" s="20"/>
      <c r="J10" s="20"/>
      <c r="K10" s="20"/>
      <c r="L10" s="20"/>
      <c r="M10" s="20"/>
      <c r="N10" s="20"/>
      <c r="O10" s="20"/>
      <c r="P10" s="20"/>
      <c r="Q10" s="20"/>
      <c r="R10" s="20"/>
    </row>
    <row r="11" spans="2:18" s="19" customFormat="1" ht="15" x14ac:dyDescent="0.25">
      <c r="B11" s="208"/>
      <c r="C11" s="208"/>
      <c r="D11" s="208"/>
      <c r="E11" s="208"/>
      <c r="F11" s="208"/>
      <c r="G11" s="208"/>
      <c r="H11" s="208"/>
      <c r="I11" s="208"/>
      <c r="J11" s="208"/>
      <c r="K11" s="208"/>
      <c r="L11" s="208"/>
      <c r="M11" s="208"/>
      <c r="N11" s="208"/>
      <c r="O11" s="208"/>
      <c r="P11" s="208"/>
      <c r="Q11" s="208"/>
      <c r="R11" s="208"/>
    </row>
    <row r="12" spans="2:18" s="19" customFormat="1" x14ac:dyDescent="0.2">
      <c r="B12" s="20"/>
      <c r="C12" s="20"/>
      <c r="D12" s="20"/>
      <c r="E12" s="20"/>
      <c r="F12" s="20"/>
      <c r="G12" s="20"/>
      <c r="H12" s="20"/>
      <c r="I12" s="20"/>
      <c r="J12" s="20"/>
      <c r="K12" s="20"/>
      <c r="L12" s="20"/>
      <c r="M12" s="20"/>
      <c r="N12" s="20"/>
      <c r="O12" s="20"/>
      <c r="P12" s="20"/>
      <c r="Q12" s="20"/>
      <c r="R12" s="20"/>
    </row>
    <row r="13" spans="2:18" s="19" customFormat="1" x14ac:dyDescent="0.2">
      <c r="B13" s="20"/>
      <c r="C13" s="20"/>
      <c r="D13" s="20"/>
      <c r="E13" s="20"/>
      <c r="F13" s="20"/>
      <c r="G13" s="20"/>
      <c r="H13" s="20"/>
      <c r="I13" s="20"/>
      <c r="J13" s="20"/>
      <c r="K13" s="20"/>
      <c r="L13" s="20"/>
      <c r="M13" s="20"/>
      <c r="N13" s="20"/>
      <c r="O13" s="20"/>
      <c r="P13" s="20"/>
      <c r="Q13" s="20"/>
      <c r="R13" s="20"/>
    </row>
    <row r="14" spans="2:18" s="19" customFormat="1" x14ac:dyDescent="0.2">
      <c r="B14" s="20"/>
      <c r="C14" s="20"/>
      <c r="D14" s="20"/>
      <c r="E14" s="20"/>
      <c r="F14" s="20"/>
      <c r="G14" s="20"/>
      <c r="H14" s="20"/>
      <c r="I14" s="20"/>
      <c r="J14" s="20"/>
      <c r="K14" s="20"/>
      <c r="L14" s="20"/>
      <c r="M14" s="20"/>
      <c r="N14" s="20"/>
      <c r="O14" s="20"/>
      <c r="P14" s="20"/>
      <c r="Q14" s="20"/>
      <c r="R14" s="20"/>
    </row>
    <row r="15" spans="2:18" s="19" customFormat="1" x14ac:dyDescent="0.2">
      <c r="B15" s="20"/>
      <c r="C15" s="20"/>
      <c r="D15" s="20"/>
      <c r="E15" s="20"/>
      <c r="F15" s="20"/>
      <c r="G15" s="20"/>
      <c r="H15" s="20"/>
      <c r="I15" s="20"/>
      <c r="J15" s="20"/>
      <c r="K15" s="20"/>
      <c r="L15" s="20"/>
      <c r="M15" s="20"/>
      <c r="N15" s="20"/>
      <c r="O15" s="20"/>
      <c r="P15" s="20"/>
      <c r="Q15" s="20"/>
      <c r="R15" s="20"/>
    </row>
    <row r="16" spans="2:18" s="19" customFormat="1" x14ac:dyDescent="0.2">
      <c r="B16" s="20"/>
      <c r="C16" s="20"/>
      <c r="D16" s="20"/>
      <c r="E16" s="20"/>
      <c r="F16" s="20"/>
      <c r="G16" s="20"/>
      <c r="H16" s="20"/>
      <c r="I16" s="20"/>
      <c r="J16" s="20"/>
      <c r="K16" s="20"/>
      <c r="L16" s="20"/>
      <c r="M16" s="20"/>
      <c r="N16" s="20"/>
      <c r="O16" s="20"/>
      <c r="P16" s="20"/>
      <c r="Q16" s="20"/>
      <c r="R16" s="20"/>
    </row>
    <row r="17" spans="2:18" s="19" customFormat="1" x14ac:dyDescent="0.2">
      <c r="B17" s="20"/>
      <c r="C17" s="20"/>
      <c r="D17" s="20"/>
      <c r="E17" s="20"/>
      <c r="F17" s="20"/>
      <c r="G17" s="20"/>
      <c r="H17" s="20"/>
      <c r="I17" s="20"/>
      <c r="J17" s="20"/>
      <c r="K17" s="20"/>
      <c r="L17" s="20"/>
      <c r="M17" s="20"/>
      <c r="N17" s="20"/>
      <c r="O17" s="20"/>
      <c r="P17" s="20"/>
      <c r="Q17" s="20"/>
      <c r="R17" s="20"/>
    </row>
    <row r="18" spans="2:18" s="19" customFormat="1" x14ac:dyDescent="0.2">
      <c r="B18" s="20"/>
      <c r="C18" s="20"/>
      <c r="D18" s="20"/>
      <c r="E18" s="20"/>
      <c r="F18" s="20"/>
      <c r="G18" s="20"/>
      <c r="H18" s="20"/>
      <c r="I18" s="20"/>
      <c r="J18" s="20"/>
      <c r="K18" s="20"/>
      <c r="L18" s="20"/>
      <c r="M18" s="20"/>
      <c r="N18" s="20"/>
      <c r="O18" s="20"/>
      <c r="P18" s="20"/>
      <c r="Q18" s="20"/>
      <c r="R18" s="20"/>
    </row>
    <row r="19" spans="2:18" s="19" customFormat="1" x14ac:dyDescent="0.2">
      <c r="B19" s="20"/>
      <c r="C19" s="20"/>
      <c r="D19" s="20"/>
      <c r="E19" s="20"/>
      <c r="F19" s="20"/>
      <c r="G19" s="20"/>
      <c r="H19" s="20"/>
      <c r="I19" s="20"/>
      <c r="J19" s="20"/>
      <c r="K19" s="20"/>
      <c r="L19" s="20"/>
      <c r="M19" s="20"/>
      <c r="N19" s="20"/>
      <c r="O19" s="20"/>
      <c r="P19" s="20"/>
      <c r="Q19" s="20"/>
      <c r="R19" s="20"/>
    </row>
    <row r="20" spans="2:18" s="19" customFormat="1" x14ac:dyDescent="0.2">
      <c r="B20" s="20"/>
      <c r="C20" s="20"/>
      <c r="D20" s="20"/>
      <c r="E20" s="20"/>
      <c r="F20" s="20"/>
      <c r="G20" s="20"/>
      <c r="H20" s="20"/>
      <c r="I20" s="20"/>
      <c r="J20" s="20"/>
      <c r="K20" s="20"/>
      <c r="L20" s="20"/>
      <c r="M20" s="20"/>
      <c r="N20" s="20"/>
      <c r="O20" s="20"/>
      <c r="P20" s="20"/>
      <c r="Q20" s="20"/>
      <c r="R20" s="20"/>
    </row>
    <row r="21" spans="2:18" s="19" customFormat="1" x14ac:dyDescent="0.2">
      <c r="B21" s="20"/>
      <c r="C21" s="20"/>
      <c r="D21" s="20"/>
      <c r="E21" s="20"/>
      <c r="F21" s="20"/>
      <c r="G21" s="20"/>
      <c r="H21" s="20"/>
      <c r="I21" s="20"/>
      <c r="J21" s="20"/>
      <c r="K21" s="20"/>
      <c r="L21" s="20"/>
      <c r="M21" s="20"/>
      <c r="N21" s="20"/>
      <c r="O21" s="20"/>
      <c r="P21" s="20"/>
      <c r="Q21" s="20"/>
      <c r="R21" s="20"/>
    </row>
    <row r="22" spans="2:18" s="19" customFormat="1" x14ac:dyDescent="0.2">
      <c r="B22" s="20"/>
      <c r="C22" s="20"/>
      <c r="D22" s="20"/>
      <c r="E22" s="20"/>
      <c r="F22" s="20"/>
      <c r="G22" s="20"/>
      <c r="H22" s="20"/>
      <c r="I22" s="20"/>
      <c r="J22" s="20"/>
      <c r="K22" s="20"/>
      <c r="L22" s="20"/>
      <c r="M22" s="20"/>
      <c r="N22" s="20"/>
      <c r="O22" s="20"/>
      <c r="P22" s="20"/>
      <c r="Q22" s="20"/>
      <c r="R22" s="20"/>
    </row>
    <row r="23" spans="2:18" s="19" customFormat="1" x14ac:dyDescent="0.2">
      <c r="B23" s="20"/>
      <c r="C23" s="20"/>
      <c r="D23" s="20"/>
      <c r="E23" s="20"/>
      <c r="F23" s="20"/>
      <c r="G23" s="20"/>
      <c r="H23" s="20"/>
      <c r="I23" s="20"/>
      <c r="J23" s="20"/>
      <c r="K23" s="20"/>
      <c r="L23" s="20"/>
      <c r="M23" s="20"/>
      <c r="N23" s="20"/>
      <c r="O23" s="20"/>
      <c r="P23" s="20"/>
      <c r="Q23" s="20"/>
      <c r="R23" s="20"/>
    </row>
    <row r="24" spans="2:18" s="19" customFormat="1" x14ac:dyDescent="0.2">
      <c r="B24" s="20"/>
      <c r="C24" s="20"/>
      <c r="D24" s="20"/>
      <c r="E24" s="20"/>
      <c r="F24" s="20"/>
      <c r="G24" s="20"/>
      <c r="H24" s="20"/>
      <c r="I24" s="20"/>
      <c r="J24" s="20"/>
      <c r="K24" s="20"/>
      <c r="L24" s="20"/>
      <c r="M24" s="20"/>
      <c r="N24" s="20"/>
      <c r="O24" s="20"/>
      <c r="P24" s="20"/>
      <c r="Q24" s="20"/>
      <c r="R24" s="20"/>
    </row>
    <row r="25" spans="2:18" s="19" customFormat="1" x14ac:dyDescent="0.2">
      <c r="B25" s="20"/>
      <c r="C25" s="20"/>
      <c r="D25" s="20"/>
      <c r="E25" s="20"/>
      <c r="F25" s="20"/>
      <c r="G25" s="20"/>
      <c r="H25" s="20"/>
      <c r="I25" s="20"/>
      <c r="J25" s="20"/>
      <c r="K25" s="20"/>
      <c r="L25" s="20"/>
      <c r="M25" s="20"/>
      <c r="N25" s="20"/>
      <c r="O25" s="20"/>
      <c r="P25" s="20"/>
      <c r="Q25" s="20"/>
      <c r="R25" s="20"/>
    </row>
    <row r="26" spans="2:18" s="19" customFormat="1" x14ac:dyDescent="0.2">
      <c r="B26" s="20"/>
      <c r="C26" s="20"/>
      <c r="D26" s="20"/>
      <c r="E26" s="20"/>
      <c r="F26" s="20"/>
      <c r="G26" s="20"/>
      <c r="H26" s="20"/>
      <c r="I26" s="20"/>
      <c r="J26" s="20"/>
      <c r="K26" s="20"/>
      <c r="L26" s="20"/>
      <c r="M26" s="20"/>
      <c r="N26" s="20"/>
      <c r="O26" s="20"/>
      <c r="P26" s="20"/>
      <c r="Q26" s="20"/>
      <c r="R26" s="20"/>
    </row>
    <row r="27" spans="2:18" s="19" customFormat="1" x14ac:dyDescent="0.2">
      <c r="B27" s="20"/>
      <c r="C27" s="20"/>
      <c r="D27" s="20"/>
      <c r="E27" s="20"/>
      <c r="F27" s="20"/>
      <c r="G27" s="20"/>
      <c r="H27" s="20"/>
      <c r="I27" s="20"/>
      <c r="J27" s="20"/>
      <c r="K27" s="20"/>
      <c r="L27" s="20"/>
      <c r="M27" s="20"/>
      <c r="N27" s="20"/>
      <c r="O27" s="20"/>
      <c r="P27" s="20"/>
      <c r="Q27" s="20"/>
      <c r="R27" s="20"/>
    </row>
    <row r="28" spans="2:18" s="19" customFormat="1" x14ac:dyDescent="0.2">
      <c r="B28" s="20"/>
      <c r="C28" s="20"/>
      <c r="D28" s="20"/>
      <c r="E28" s="20"/>
      <c r="F28" s="20"/>
      <c r="G28" s="20"/>
      <c r="H28" s="20"/>
      <c r="I28" s="20"/>
      <c r="J28" s="20"/>
      <c r="K28" s="20"/>
      <c r="L28" s="20"/>
      <c r="M28" s="20"/>
      <c r="N28" s="20"/>
      <c r="O28" s="20"/>
      <c r="P28" s="20"/>
      <c r="Q28" s="20"/>
      <c r="R28" s="20"/>
    </row>
    <row r="29" spans="2:18" s="19" customFormat="1" x14ac:dyDescent="0.2">
      <c r="B29" s="20"/>
      <c r="C29" s="20"/>
      <c r="D29" s="20"/>
      <c r="E29" s="20"/>
      <c r="F29" s="20"/>
      <c r="G29" s="20"/>
      <c r="H29" s="20"/>
      <c r="I29" s="20"/>
      <c r="J29" s="20"/>
      <c r="K29" s="20"/>
      <c r="L29" s="20"/>
      <c r="M29" s="20"/>
      <c r="N29" s="20"/>
      <c r="O29" s="20"/>
      <c r="P29" s="20"/>
      <c r="Q29" s="20"/>
      <c r="R29" s="20"/>
    </row>
    <row r="30" spans="2:18" s="19" customFormat="1" x14ac:dyDescent="0.2">
      <c r="B30" s="20"/>
      <c r="C30" s="20"/>
      <c r="D30" s="20"/>
      <c r="E30" s="20"/>
      <c r="F30" s="20"/>
      <c r="G30" s="20"/>
      <c r="H30" s="20"/>
      <c r="I30" s="20"/>
      <c r="J30" s="20"/>
      <c r="K30" s="20"/>
      <c r="L30" s="20"/>
      <c r="M30" s="20"/>
      <c r="N30" s="20"/>
      <c r="O30" s="20"/>
      <c r="P30" s="20"/>
      <c r="Q30" s="20"/>
      <c r="R30" s="20"/>
    </row>
    <row r="31" spans="2:18" s="19" customFormat="1" x14ac:dyDescent="0.2">
      <c r="B31" s="20"/>
      <c r="C31" s="20"/>
      <c r="D31" s="20"/>
      <c r="E31" s="20"/>
      <c r="F31" s="20"/>
      <c r="G31" s="20"/>
      <c r="H31" s="20"/>
      <c r="I31" s="20"/>
      <c r="J31" s="20"/>
      <c r="K31" s="20"/>
      <c r="L31" s="20"/>
      <c r="M31" s="20"/>
      <c r="N31" s="20"/>
      <c r="O31" s="20"/>
      <c r="P31" s="20"/>
      <c r="Q31" s="20"/>
      <c r="R31" s="20"/>
    </row>
    <row r="32" spans="2:18" s="19" customFormat="1" x14ac:dyDescent="0.2">
      <c r="B32" s="20"/>
      <c r="C32" s="20"/>
      <c r="D32" s="20"/>
      <c r="E32" s="20"/>
      <c r="F32" s="20"/>
      <c r="G32" s="20"/>
      <c r="H32" s="20"/>
      <c r="I32" s="20"/>
      <c r="J32" s="20"/>
      <c r="K32" s="20"/>
      <c r="L32" s="20"/>
      <c r="M32" s="20"/>
      <c r="N32" s="20"/>
      <c r="O32" s="20"/>
      <c r="P32" s="20"/>
      <c r="Q32" s="20"/>
      <c r="R32" s="20"/>
    </row>
  </sheetData>
  <sheetProtection sheet="1" objects="1" scenarios="1" selectLockedCells="1"/>
  <mergeCells count="4">
    <mergeCell ref="B5:R5"/>
    <mergeCell ref="B7:R7"/>
    <mergeCell ref="B9:R9"/>
    <mergeCell ref="B11:R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B1B9F-343B-409E-B695-C91939C7A08C}">
  <sheetPr filterMode="1">
    <tabColor theme="9" tint="0.39997558519241921"/>
    <pageSetUpPr fitToPage="1"/>
  </sheetPr>
  <dimension ref="B1:DK45"/>
  <sheetViews>
    <sheetView zoomScale="85" zoomScaleNormal="85" workbookViewId="0">
      <pane xSplit="4" ySplit="3" topLeftCell="E5" activePane="bottomRight" state="frozen"/>
      <selection activeCell="G68" sqref="G68"/>
      <selection pane="topRight" activeCell="G68" sqref="G68"/>
      <selection pane="bottomLeft" activeCell="G68" sqref="G68"/>
      <selection pane="bottomRight" activeCell="G68" sqref="G68"/>
    </sheetView>
  </sheetViews>
  <sheetFormatPr defaultRowHeight="15" x14ac:dyDescent="0.25"/>
  <cols>
    <col min="2" max="3" width="27.28515625" style="36" bestFit="1" customWidth="1"/>
    <col min="4" max="4" width="19.85546875" style="36" customWidth="1"/>
    <col min="5" max="5" width="53.42578125" style="37" customWidth="1"/>
    <col min="6" max="6" width="12" style="36" bestFit="1" customWidth="1"/>
    <col min="7" max="7" width="52.42578125" style="37" customWidth="1"/>
    <col min="8" max="8" width="12.28515625" style="36" bestFit="1" customWidth="1"/>
    <col min="9" max="11" width="20.140625" style="36" customWidth="1"/>
    <col min="12" max="12" width="12.5703125" style="36" bestFit="1" customWidth="1"/>
    <col min="13" max="13" width="10.85546875" style="36" bestFit="1" customWidth="1"/>
    <col min="14" max="15" width="20.28515625" style="36" hidden="1" customWidth="1"/>
    <col min="16" max="17" width="11.42578125" style="36" bestFit="1" customWidth="1"/>
    <col min="18" max="19" width="17" style="36" bestFit="1" customWidth="1"/>
    <col min="20" max="20" width="15.28515625" style="36" bestFit="1" customWidth="1"/>
    <col min="21" max="21" width="15.85546875" style="36" bestFit="1" customWidth="1"/>
    <col min="22" max="22" width="9.7109375" style="36" bestFit="1" customWidth="1"/>
    <col min="23" max="23" width="13.7109375" style="36" bestFit="1" customWidth="1"/>
  </cols>
  <sheetData>
    <row r="1" spans="2:115" x14ac:dyDescent="0.25">
      <c r="B1" s="36" cm="1">
        <f t="array" ref="B1:DK1">COLUMN(B1:DK1)-1</f>
        <v>1</v>
      </c>
      <c r="C1" s="36">
        <v>2</v>
      </c>
      <c r="D1" s="36">
        <v>3</v>
      </c>
      <c r="E1" s="37">
        <v>4</v>
      </c>
      <c r="F1" s="36">
        <v>5</v>
      </c>
      <c r="G1" s="37">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c r="CW1">
        <v>100</v>
      </c>
      <c r="CX1">
        <v>101</v>
      </c>
      <c r="CY1">
        <v>102</v>
      </c>
      <c r="CZ1">
        <v>103</v>
      </c>
      <c r="DA1">
        <v>104</v>
      </c>
      <c r="DB1">
        <v>105</v>
      </c>
      <c r="DC1">
        <v>106</v>
      </c>
      <c r="DD1">
        <v>107</v>
      </c>
      <c r="DE1">
        <v>108</v>
      </c>
      <c r="DF1">
        <v>109</v>
      </c>
      <c r="DG1">
        <v>110</v>
      </c>
      <c r="DH1">
        <v>111</v>
      </c>
      <c r="DI1">
        <v>112</v>
      </c>
      <c r="DJ1">
        <v>113</v>
      </c>
      <c r="DK1">
        <v>114</v>
      </c>
    </row>
    <row r="2" spans="2:115" ht="30" x14ac:dyDescent="0.25">
      <c r="B2" s="261" t="s">
        <v>184</v>
      </c>
      <c r="C2" s="261" t="s">
        <v>15</v>
      </c>
      <c r="D2" s="261" t="s">
        <v>73</v>
      </c>
      <c r="E2" s="262" t="s">
        <v>80</v>
      </c>
      <c r="F2" s="22" t="s">
        <v>71</v>
      </c>
      <c r="G2" s="262" t="s">
        <v>0</v>
      </c>
      <c r="H2" s="23" t="s">
        <v>71</v>
      </c>
      <c r="I2" s="23" t="s">
        <v>187</v>
      </c>
      <c r="J2" s="23"/>
      <c r="K2" s="23"/>
      <c r="L2" s="24" t="s">
        <v>68</v>
      </c>
      <c r="M2" s="24" t="s">
        <v>67</v>
      </c>
      <c r="N2" s="24"/>
      <c r="O2" s="24"/>
      <c r="P2" s="25" t="s">
        <v>81</v>
      </c>
      <c r="Q2" s="25" t="s">
        <v>81</v>
      </c>
      <c r="R2" s="25" t="s">
        <v>82</v>
      </c>
      <c r="S2" s="25" t="s">
        <v>82</v>
      </c>
      <c r="T2" s="24" t="s">
        <v>83</v>
      </c>
      <c r="U2" s="26" t="s">
        <v>18</v>
      </c>
      <c r="V2" s="26" t="s">
        <v>125</v>
      </c>
      <c r="W2" s="26" t="s">
        <v>17</v>
      </c>
    </row>
    <row r="3" spans="2:115" ht="17.25" hidden="1" x14ac:dyDescent="0.25">
      <c r="B3" s="261"/>
      <c r="C3" s="261"/>
      <c r="D3" s="261"/>
      <c r="E3" s="262"/>
      <c r="F3" s="38" t="s">
        <v>70</v>
      </c>
      <c r="G3" s="262"/>
      <c r="H3" s="39" t="s">
        <v>70</v>
      </c>
      <c r="I3" s="39"/>
      <c r="J3" s="39"/>
      <c r="K3" s="39"/>
      <c r="L3" s="27" t="s">
        <v>69</v>
      </c>
      <c r="M3" s="27" t="s">
        <v>44</v>
      </c>
      <c r="N3" s="27"/>
      <c r="O3" s="27"/>
      <c r="P3" s="27" t="s">
        <v>44</v>
      </c>
      <c r="Q3" s="27" t="s">
        <v>44</v>
      </c>
      <c r="R3" s="27" t="s">
        <v>44</v>
      </c>
      <c r="S3" s="27" t="s">
        <v>44</v>
      </c>
      <c r="T3" s="24" t="s">
        <v>84</v>
      </c>
      <c r="U3" s="23" t="s">
        <v>62</v>
      </c>
      <c r="V3" s="23" t="s">
        <v>62</v>
      </c>
      <c r="W3" s="23" t="s">
        <v>62</v>
      </c>
    </row>
    <row r="4" spans="2:115" s="10" customFormat="1" hidden="1" x14ac:dyDescent="0.2">
      <c r="B4" s="11" t="str">
        <f>C4&amp;D4&amp;G4</f>
        <v>Mid Rise OfficeDomestic Hot WaterHeat pump and electric resistance water heaters</v>
      </c>
      <c r="C4" s="11" t="s">
        <v>45</v>
      </c>
      <c r="D4" s="38" t="s">
        <v>85</v>
      </c>
      <c r="E4" s="29" t="s">
        <v>46</v>
      </c>
      <c r="F4" s="30">
        <v>0.6</v>
      </c>
      <c r="G4" s="29" t="s">
        <v>86</v>
      </c>
      <c r="H4" s="31">
        <v>3</v>
      </c>
      <c r="I4" s="92">
        <f>(F4-H4)/F4</f>
        <v>-4</v>
      </c>
      <c r="J4" s="92"/>
      <c r="K4" s="92"/>
      <c r="L4" s="32">
        <v>0</v>
      </c>
      <c r="M4" s="33" t="s">
        <v>87</v>
      </c>
      <c r="N4" s="33" t="str">
        <f>LEFT(M4, FIND(" to ", M4) - 1)</f>
        <v>1%</v>
      </c>
      <c r="O4" s="33" t="str">
        <f>MID(M4, FIND(" to ", M4) + 4, LEN(M4) - FIND(" to ", M4) - 3)</f>
        <v>4%</v>
      </c>
      <c r="P4" s="71">
        <f>N4*0.4</f>
        <v>4.0000000000000001E-3</v>
      </c>
      <c r="Q4" s="71">
        <f>O4*0.4</f>
        <v>1.6E-2</v>
      </c>
      <c r="R4" s="71">
        <f>N4*0.6</f>
        <v>6.0000000000000001E-3</v>
      </c>
      <c r="S4" s="71">
        <f>O4*0.6</f>
        <v>2.4E-2</v>
      </c>
      <c r="T4" s="33" t="s">
        <v>88</v>
      </c>
      <c r="U4" s="33">
        <v>347</v>
      </c>
      <c r="V4" s="41">
        <f>U4*0.4</f>
        <v>138.80000000000001</v>
      </c>
      <c r="W4" s="41">
        <f>U4-V4</f>
        <v>208.2</v>
      </c>
    </row>
    <row r="5" spans="2:115" s="10" customFormat="1" ht="30" x14ac:dyDescent="0.2">
      <c r="B5" s="11" t="str">
        <f t="shared" ref="B5:B45" si="0">C5&amp;D5&amp;G5</f>
        <v>Mid Rise OfficeHeating SystemDistrict heating and cooling systems</v>
      </c>
      <c r="C5" s="11" t="s">
        <v>45</v>
      </c>
      <c r="D5" s="28" t="s">
        <v>89</v>
      </c>
      <c r="E5" s="29" t="s">
        <v>47</v>
      </c>
      <c r="F5" s="30">
        <v>0.7</v>
      </c>
      <c r="G5" s="14" t="s">
        <v>90</v>
      </c>
      <c r="H5" s="31">
        <v>4.5</v>
      </c>
      <c r="I5" s="92">
        <f t="shared" ref="I5:I45" si="1">(F5-H5)/F5</f>
        <v>-5.4285714285714288</v>
      </c>
      <c r="J5" s="92"/>
      <c r="K5" s="92"/>
      <c r="L5" s="32" t="s">
        <v>91</v>
      </c>
      <c r="M5" s="33" t="s">
        <v>92</v>
      </c>
      <c r="N5" s="33" t="str">
        <f t="shared" ref="N5:N45" si="2">LEFT(M5, FIND(" to ", M5) - 1)</f>
        <v>20%</v>
      </c>
      <c r="O5" s="33" t="str">
        <f t="shared" ref="O5:O45" si="3">MID(M5, FIND(" to ", M5) + 4, LEN(M5) - FIND(" to ", M5) - 3)</f>
        <v>30%</v>
      </c>
      <c r="P5" s="71">
        <f t="shared" ref="P5:Q45" si="4">N5*0.4</f>
        <v>8.0000000000000016E-2</v>
      </c>
      <c r="Q5" s="71">
        <f t="shared" si="4"/>
        <v>0.12</v>
      </c>
      <c r="R5" s="71">
        <f t="shared" ref="R5:S45" si="5">N5*0.6</f>
        <v>0.12</v>
      </c>
      <c r="S5" s="71">
        <f t="shared" si="5"/>
        <v>0.18</v>
      </c>
      <c r="T5" s="33" t="s">
        <v>93</v>
      </c>
      <c r="U5" s="33">
        <v>347</v>
      </c>
      <c r="V5" s="41">
        <f t="shared" ref="V5:V45" si="6">U5*0.4</f>
        <v>138.80000000000001</v>
      </c>
      <c r="W5" s="41">
        <f t="shared" ref="W5:W45" si="7">U5-V5</f>
        <v>208.2</v>
      </c>
    </row>
    <row r="6" spans="2:115" s="10" customFormat="1" ht="30" x14ac:dyDescent="0.2">
      <c r="B6" s="11" t="str">
        <f t="shared" si="0"/>
        <v>Mid Rise OfficeHeating SystemAir source heat pumps</v>
      </c>
      <c r="C6" s="11" t="s">
        <v>45</v>
      </c>
      <c r="D6" s="28" t="s">
        <v>89</v>
      </c>
      <c r="E6" s="29" t="str">
        <f>E5</f>
        <v>Central boilers serving dedicated outdoor air units and hot water radiators</v>
      </c>
      <c r="F6" s="30">
        <v>0.7</v>
      </c>
      <c r="G6" s="14" t="s">
        <v>94</v>
      </c>
      <c r="H6" s="31">
        <v>3.5</v>
      </c>
      <c r="I6" s="92">
        <f t="shared" si="1"/>
        <v>-4</v>
      </c>
      <c r="J6" s="92"/>
      <c r="K6" s="92"/>
      <c r="L6" s="34" t="str">
        <f>L5</f>
        <v>$1 to $10</v>
      </c>
      <c r="M6" s="34" t="str">
        <f>M5</f>
        <v>20% to 30%</v>
      </c>
      <c r="N6" s="33" t="str">
        <f t="shared" si="2"/>
        <v>20%</v>
      </c>
      <c r="O6" s="33" t="str">
        <f t="shared" si="3"/>
        <v>30%</v>
      </c>
      <c r="P6" s="71">
        <f t="shared" si="4"/>
        <v>8.0000000000000016E-2</v>
      </c>
      <c r="Q6" s="71">
        <f t="shared" si="4"/>
        <v>0.12</v>
      </c>
      <c r="R6" s="71">
        <f t="shared" si="5"/>
        <v>0.12</v>
      </c>
      <c r="S6" s="71">
        <f t="shared" si="5"/>
        <v>0.18</v>
      </c>
      <c r="T6" s="34" t="str">
        <f>T5</f>
        <v>30%-75%</v>
      </c>
      <c r="U6" s="33">
        <v>347</v>
      </c>
      <c r="V6" s="41">
        <f t="shared" si="6"/>
        <v>138.80000000000001</v>
      </c>
      <c r="W6" s="41">
        <f t="shared" si="7"/>
        <v>208.2</v>
      </c>
    </row>
    <row r="7" spans="2:115" s="10" customFormat="1" ht="30" x14ac:dyDescent="0.2">
      <c r="B7" s="11" t="str">
        <f t="shared" si="0"/>
        <v>Mid Rise OfficeHeating SystemGround source heat pump</v>
      </c>
      <c r="C7" s="11" t="s">
        <v>45</v>
      </c>
      <c r="D7" s="28" t="s">
        <v>89</v>
      </c>
      <c r="E7" s="29" t="str">
        <f>E5</f>
        <v>Central boilers serving dedicated outdoor air units and hot water radiators</v>
      </c>
      <c r="F7" s="30">
        <v>0.7</v>
      </c>
      <c r="G7" s="14" t="s">
        <v>95</v>
      </c>
      <c r="H7" s="31">
        <v>4.5</v>
      </c>
      <c r="I7" s="92">
        <f t="shared" si="1"/>
        <v>-5.4285714285714288</v>
      </c>
      <c r="J7" s="92"/>
      <c r="K7" s="92"/>
      <c r="L7" s="34" t="str">
        <f>L6</f>
        <v>$1 to $10</v>
      </c>
      <c r="M7" s="34" t="str">
        <f>M6</f>
        <v>20% to 30%</v>
      </c>
      <c r="N7" s="33" t="str">
        <f t="shared" si="2"/>
        <v>20%</v>
      </c>
      <c r="O7" s="33" t="str">
        <f t="shared" si="3"/>
        <v>30%</v>
      </c>
      <c r="P7" s="71">
        <f t="shared" si="4"/>
        <v>8.0000000000000016E-2</v>
      </c>
      <c r="Q7" s="71">
        <f t="shared" si="4"/>
        <v>0.12</v>
      </c>
      <c r="R7" s="71">
        <f t="shared" si="5"/>
        <v>0.12</v>
      </c>
      <c r="S7" s="71">
        <f t="shared" si="5"/>
        <v>0.18</v>
      </c>
      <c r="T7" s="34" t="str">
        <f>T6</f>
        <v>30%-75%</v>
      </c>
      <c r="U7" s="33">
        <v>347</v>
      </c>
      <c r="V7" s="41">
        <f t="shared" si="6"/>
        <v>138.80000000000001</v>
      </c>
      <c r="W7" s="41">
        <f t="shared" si="7"/>
        <v>208.2</v>
      </c>
    </row>
    <row r="8" spans="2:115" hidden="1" x14ac:dyDescent="0.25">
      <c r="B8" s="11" t="str">
        <f t="shared" si="0"/>
        <v>Educational FacilitiesDomestic Hot WaterHeat pump and electric resistance water heaters</v>
      </c>
      <c r="C8" s="11" t="s">
        <v>64</v>
      </c>
      <c r="D8" s="38" t="s">
        <v>85</v>
      </c>
      <c r="E8" s="29" t="s">
        <v>46</v>
      </c>
      <c r="F8" s="30">
        <v>0.6</v>
      </c>
      <c r="G8" s="29" t="s">
        <v>86</v>
      </c>
      <c r="H8" s="31">
        <v>3</v>
      </c>
      <c r="I8" s="92">
        <f t="shared" si="1"/>
        <v>-4</v>
      </c>
      <c r="J8" s="92"/>
      <c r="K8" s="92"/>
      <c r="L8" s="34" t="s">
        <v>91</v>
      </c>
      <c r="M8" s="34" t="s">
        <v>96</v>
      </c>
      <c r="N8" s="33" t="str">
        <f t="shared" si="2"/>
        <v>1%</v>
      </c>
      <c r="O8" s="33" t="str">
        <f t="shared" si="3"/>
        <v>5%</v>
      </c>
      <c r="P8" s="71">
        <f t="shared" si="4"/>
        <v>4.0000000000000001E-3</v>
      </c>
      <c r="Q8" s="71">
        <f t="shared" si="4"/>
        <v>2.0000000000000004E-2</v>
      </c>
      <c r="R8" s="71">
        <f t="shared" si="5"/>
        <v>6.0000000000000001E-3</v>
      </c>
      <c r="S8" s="71">
        <f t="shared" si="5"/>
        <v>0.03</v>
      </c>
      <c r="T8" s="34" t="s">
        <v>97</v>
      </c>
      <c r="U8" s="35">
        <v>347</v>
      </c>
      <c r="V8" s="41">
        <f t="shared" si="6"/>
        <v>138.80000000000001</v>
      </c>
      <c r="W8" s="41">
        <f t="shared" si="7"/>
        <v>208.2</v>
      </c>
    </row>
    <row r="9" spans="2:115" x14ac:dyDescent="0.25">
      <c r="B9" s="11" t="str">
        <f t="shared" si="0"/>
        <v>Educational FacilitiesHeating SystemDistrict heating and cooling systems</v>
      </c>
      <c r="C9" s="11" t="s">
        <v>64</v>
      </c>
      <c r="D9" s="28" t="s">
        <v>89</v>
      </c>
      <c r="E9" s="29" t="s">
        <v>48</v>
      </c>
      <c r="F9" s="30">
        <v>0.67500000000000004</v>
      </c>
      <c r="G9" s="14" t="s">
        <v>90</v>
      </c>
      <c r="H9" s="31">
        <v>4.5</v>
      </c>
      <c r="I9" s="92">
        <f t="shared" si="1"/>
        <v>-5.666666666666667</v>
      </c>
      <c r="J9" s="92"/>
      <c r="K9" s="92"/>
      <c r="L9" s="34" t="s">
        <v>98</v>
      </c>
      <c r="M9" s="34" t="s">
        <v>99</v>
      </c>
      <c r="N9" s="33" t="str">
        <f t="shared" si="2"/>
        <v>21%</v>
      </c>
      <c r="O9" s="33" t="str">
        <f t="shared" si="3"/>
        <v>30%</v>
      </c>
      <c r="P9" s="71">
        <f t="shared" si="4"/>
        <v>8.4000000000000005E-2</v>
      </c>
      <c r="Q9" s="71">
        <f t="shared" si="4"/>
        <v>0.12</v>
      </c>
      <c r="R9" s="71">
        <f t="shared" si="5"/>
        <v>0.126</v>
      </c>
      <c r="S9" s="71">
        <f t="shared" si="5"/>
        <v>0.18</v>
      </c>
      <c r="T9" s="34" t="s">
        <v>93</v>
      </c>
      <c r="U9" s="35">
        <v>347</v>
      </c>
      <c r="V9" s="41">
        <f t="shared" si="6"/>
        <v>138.80000000000001</v>
      </c>
      <c r="W9" s="41">
        <f t="shared" si="7"/>
        <v>208.2</v>
      </c>
    </row>
    <row r="10" spans="2:115" x14ac:dyDescent="0.25">
      <c r="B10" s="11" t="str">
        <f t="shared" si="0"/>
        <v>Educational FacilitiesHeating SystemAir source heat pumps</v>
      </c>
      <c r="C10" s="11" t="s">
        <v>64</v>
      </c>
      <c r="D10" s="28" t="s">
        <v>89</v>
      </c>
      <c r="E10" s="29" t="s">
        <v>48</v>
      </c>
      <c r="F10" s="30">
        <v>0.67500000000000004</v>
      </c>
      <c r="G10" s="14" t="s">
        <v>94</v>
      </c>
      <c r="H10" s="31">
        <v>3.5</v>
      </c>
      <c r="I10" s="92">
        <f t="shared" si="1"/>
        <v>-4.1851851851851851</v>
      </c>
      <c r="J10" s="92"/>
      <c r="K10" s="92"/>
      <c r="L10" s="34" t="str">
        <f>L9</f>
        <v>$11 to $25</v>
      </c>
      <c r="M10" s="34" t="str">
        <f>M9</f>
        <v>21% to 30%</v>
      </c>
      <c r="N10" s="33" t="str">
        <f t="shared" si="2"/>
        <v>21%</v>
      </c>
      <c r="O10" s="33" t="str">
        <f t="shared" si="3"/>
        <v>30%</v>
      </c>
      <c r="P10" s="71">
        <f t="shared" si="4"/>
        <v>8.4000000000000005E-2</v>
      </c>
      <c r="Q10" s="71">
        <f t="shared" si="4"/>
        <v>0.12</v>
      </c>
      <c r="R10" s="71">
        <f t="shared" si="5"/>
        <v>0.126</v>
      </c>
      <c r="S10" s="71">
        <f t="shared" si="5"/>
        <v>0.18</v>
      </c>
      <c r="T10" s="34" t="str">
        <f>T9</f>
        <v>30%-75%</v>
      </c>
      <c r="U10" s="35">
        <v>347</v>
      </c>
      <c r="V10" s="41">
        <f t="shared" si="6"/>
        <v>138.80000000000001</v>
      </c>
      <c r="W10" s="41">
        <f t="shared" si="7"/>
        <v>208.2</v>
      </c>
    </row>
    <row r="11" spans="2:115" x14ac:dyDescent="0.25">
      <c r="B11" s="11" t="str">
        <f t="shared" si="0"/>
        <v>Educational FacilitiesHeating SystemGround source heat pump</v>
      </c>
      <c r="C11" s="11" t="s">
        <v>64</v>
      </c>
      <c r="D11" s="28" t="s">
        <v>89</v>
      </c>
      <c r="E11" s="29" t="s">
        <v>48</v>
      </c>
      <c r="F11" s="30">
        <v>0.67500000000000004</v>
      </c>
      <c r="G11" s="14" t="s">
        <v>95</v>
      </c>
      <c r="H11" s="31">
        <v>4.5</v>
      </c>
      <c r="I11" s="92">
        <f t="shared" si="1"/>
        <v>-5.666666666666667</v>
      </c>
      <c r="J11" s="92"/>
      <c r="K11" s="92"/>
      <c r="L11" s="34" t="str">
        <f>L10</f>
        <v>$11 to $25</v>
      </c>
      <c r="M11" s="34" t="str">
        <f>M10</f>
        <v>21% to 30%</v>
      </c>
      <c r="N11" s="33" t="str">
        <f t="shared" si="2"/>
        <v>21%</v>
      </c>
      <c r="O11" s="33" t="str">
        <f t="shared" si="3"/>
        <v>30%</v>
      </c>
      <c r="P11" s="71">
        <f t="shared" si="4"/>
        <v>8.4000000000000005E-2</v>
      </c>
      <c r="Q11" s="71">
        <f t="shared" si="4"/>
        <v>0.12</v>
      </c>
      <c r="R11" s="71">
        <f t="shared" si="5"/>
        <v>0.126</v>
      </c>
      <c r="S11" s="71">
        <f t="shared" si="5"/>
        <v>0.18</v>
      </c>
      <c r="T11" s="34" t="str">
        <f>T10</f>
        <v>30%-75%</v>
      </c>
      <c r="U11" s="35">
        <v>347</v>
      </c>
      <c r="V11" s="41">
        <f t="shared" si="6"/>
        <v>138.80000000000001</v>
      </c>
      <c r="W11" s="41">
        <f t="shared" si="7"/>
        <v>208.2</v>
      </c>
    </row>
    <row r="12" spans="2:115" hidden="1" x14ac:dyDescent="0.25">
      <c r="B12" s="11" t="str">
        <f t="shared" si="0"/>
        <v>Educational FacilitiesGas AppliancesElectric and induction ranges</v>
      </c>
      <c r="C12" s="11" t="s">
        <v>64</v>
      </c>
      <c r="D12" s="28" t="s">
        <v>100</v>
      </c>
      <c r="E12" s="29" t="s">
        <v>101</v>
      </c>
      <c r="F12" s="30">
        <v>0.55000000000000004</v>
      </c>
      <c r="G12" s="14" t="s">
        <v>102</v>
      </c>
      <c r="H12" s="31">
        <v>0.85000000000000009</v>
      </c>
      <c r="I12" s="92">
        <f t="shared" si="1"/>
        <v>-0.54545454545454553</v>
      </c>
      <c r="J12" s="92"/>
      <c r="K12" s="92"/>
      <c r="L12" s="34" t="s">
        <v>91</v>
      </c>
      <c r="M12" s="34" t="s">
        <v>88</v>
      </c>
      <c r="N12" s="33" t="str">
        <f t="shared" si="2"/>
        <v>1%</v>
      </c>
      <c r="O12" s="33" t="str">
        <f t="shared" si="3"/>
        <v>10%</v>
      </c>
      <c r="P12" s="71">
        <f t="shared" si="4"/>
        <v>4.0000000000000001E-3</v>
      </c>
      <c r="Q12" s="71">
        <f t="shared" si="4"/>
        <v>4.0000000000000008E-2</v>
      </c>
      <c r="R12" s="71">
        <f t="shared" si="5"/>
        <v>6.0000000000000001E-3</v>
      </c>
      <c r="S12" s="71">
        <f t="shared" si="5"/>
        <v>0.06</v>
      </c>
      <c r="T12" s="34" t="s">
        <v>103</v>
      </c>
      <c r="U12" s="35">
        <v>347</v>
      </c>
      <c r="V12" s="41">
        <f t="shared" si="6"/>
        <v>138.80000000000001</v>
      </c>
      <c r="W12" s="41">
        <f t="shared" si="7"/>
        <v>208.2</v>
      </c>
    </row>
    <row r="13" spans="2:115" hidden="1" x14ac:dyDescent="0.25">
      <c r="B13" s="11" t="str">
        <f t="shared" si="0"/>
        <v>Big Box StoreDomestic Hot WaterElectric water heaters</v>
      </c>
      <c r="C13" s="11" t="s">
        <v>50</v>
      </c>
      <c r="D13" s="38" t="s">
        <v>85</v>
      </c>
      <c r="E13" s="29" t="s">
        <v>46</v>
      </c>
      <c r="F13" s="30">
        <v>0.6</v>
      </c>
      <c r="G13" s="14" t="s">
        <v>104</v>
      </c>
      <c r="H13" s="31">
        <v>1</v>
      </c>
      <c r="I13" s="92">
        <f t="shared" si="1"/>
        <v>-0.66666666666666674</v>
      </c>
      <c r="J13" s="92"/>
      <c r="K13" s="92"/>
      <c r="L13" s="34">
        <v>0</v>
      </c>
      <c r="M13" s="34" t="s">
        <v>96</v>
      </c>
      <c r="N13" s="33" t="str">
        <f t="shared" si="2"/>
        <v>1%</v>
      </c>
      <c r="O13" s="33" t="str">
        <f t="shared" si="3"/>
        <v>5%</v>
      </c>
      <c r="P13" s="71">
        <f t="shared" si="4"/>
        <v>4.0000000000000001E-3</v>
      </c>
      <c r="Q13" s="71">
        <f t="shared" si="4"/>
        <v>2.0000000000000004E-2</v>
      </c>
      <c r="R13" s="71">
        <f t="shared" si="5"/>
        <v>6.0000000000000001E-3</v>
      </c>
      <c r="S13" s="71">
        <f t="shared" si="5"/>
        <v>0.03</v>
      </c>
      <c r="T13" s="34" t="s">
        <v>88</v>
      </c>
      <c r="U13" s="35">
        <v>408</v>
      </c>
      <c r="V13" s="41">
        <f t="shared" si="6"/>
        <v>163.20000000000002</v>
      </c>
      <c r="W13" s="41">
        <f t="shared" si="7"/>
        <v>244.79999999999998</v>
      </c>
    </row>
    <row r="14" spans="2:115" x14ac:dyDescent="0.25">
      <c r="B14" s="11" t="str">
        <f t="shared" si="0"/>
        <v>Big Box StoreHeating SystemRooftop air source heat pump with backup electric heat</v>
      </c>
      <c r="C14" s="11" t="s">
        <v>50</v>
      </c>
      <c r="D14" s="28" t="s">
        <v>89</v>
      </c>
      <c r="E14" s="29" t="s">
        <v>105</v>
      </c>
      <c r="F14" s="30">
        <v>1.75</v>
      </c>
      <c r="G14" s="14" t="s">
        <v>106</v>
      </c>
      <c r="H14" s="31">
        <v>3.5</v>
      </c>
      <c r="I14" s="92">
        <f t="shared" si="1"/>
        <v>-1</v>
      </c>
      <c r="J14" s="92"/>
      <c r="K14" s="92"/>
      <c r="L14" s="34" t="s">
        <v>98</v>
      </c>
      <c r="M14" s="34" t="s">
        <v>107</v>
      </c>
      <c r="N14" s="33" t="str">
        <f t="shared" si="2"/>
        <v>11%</v>
      </c>
      <c r="O14" s="33" t="str">
        <f t="shared" si="3"/>
        <v>20%</v>
      </c>
      <c r="P14" s="71">
        <f t="shared" si="4"/>
        <v>4.4000000000000004E-2</v>
      </c>
      <c r="Q14" s="71">
        <f t="shared" si="4"/>
        <v>8.0000000000000016E-2</v>
      </c>
      <c r="R14" s="71">
        <f t="shared" si="5"/>
        <v>6.6000000000000003E-2</v>
      </c>
      <c r="S14" s="71">
        <f t="shared" si="5"/>
        <v>0.12</v>
      </c>
      <c r="T14" s="34" t="s">
        <v>108</v>
      </c>
      <c r="U14" s="35">
        <v>408</v>
      </c>
      <c r="V14" s="41">
        <f t="shared" si="6"/>
        <v>163.20000000000002</v>
      </c>
      <c r="W14" s="41">
        <f t="shared" si="7"/>
        <v>244.79999999999998</v>
      </c>
    </row>
    <row r="15" spans="2:115" hidden="1" x14ac:dyDescent="0.25">
      <c r="B15" s="11" t="str">
        <f t="shared" si="0"/>
        <v>Low Rise OfficeDomestic Hot WaterHeat pump and electric resistance water heaters</v>
      </c>
      <c r="C15" s="11" t="s">
        <v>63</v>
      </c>
      <c r="D15" s="38" t="s">
        <v>85</v>
      </c>
      <c r="E15" s="29" t="s">
        <v>46</v>
      </c>
      <c r="F15" s="30">
        <v>0.6</v>
      </c>
      <c r="G15" s="14" t="s">
        <v>86</v>
      </c>
      <c r="H15" s="31">
        <v>3</v>
      </c>
      <c r="I15" s="92">
        <f t="shared" si="1"/>
        <v>-4</v>
      </c>
      <c r="J15" s="92"/>
      <c r="K15" s="92"/>
      <c r="L15" s="34">
        <v>0</v>
      </c>
      <c r="M15" s="34" t="s">
        <v>96</v>
      </c>
      <c r="N15" s="33" t="str">
        <f t="shared" si="2"/>
        <v>1%</v>
      </c>
      <c r="O15" s="33" t="str">
        <f t="shared" si="3"/>
        <v>5%</v>
      </c>
      <c r="P15" s="71">
        <f t="shared" si="4"/>
        <v>4.0000000000000001E-3</v>
      </c>
      <c r="Q15" s="71">
        <f t="shared" si="4"/>
        <v>2.0000000000000004E-2</v>
      </c>
      <c r="R15" s="71">
        <f t="shared" si="5"/>
        <v>6.0000000000000001E-3</v>
      </c>
      <c r="S15" s="71">
        <f t="shared" si="5"/>
        <v>0.03</v>
      </c>
      <c r="T15" s="34" t="s">
        <v>88</v>
      </c>
      <c r="U15" s="35">
        <v>333</v>
      </c>
      <c r="V15" s="41">
        <f t="shared" si="6"/>
        <v>133.20000000000002</v>
      </c>
      <c r="W15" s="41">
        <f t="shared" si="7"/>
        <v>199.79999999999998</v>
      </c>
    </row>
    <row r="16" spans="2:115" ht="30" x14ac:dyDescent="0.25">
      <c r="B16" s="11" t="str">
        <f t="shared" si="0"/>
        <v>Low Rise OfficeHeating SystemRooftop air source heat pump with electric baseboard</v>
      </c>
      <c r="C16" s="11" t="s">
        <v>63</v>
      </c>
      <c r="D16" s="28" t="s">
        <v>89</v>
      </c>
      <c r="E16" s="29" t="s">
        <v>109</v>
      </c>
      <c r="F16" s="30">
        <v>0.75</v>
      </c>
      <c r="G16" s="14" t="s">
        <v>110</v>
      </c>
      <c r="H16" s="31">
        <v>3.5</v>
      </c>
      <c r="I16" s="92">
        <f t="shared" si="1"/>
        <v>-3.6666666666666665</v>
      </c>
      <c r="J16" s="92"/>
      <c r="K16" s="92"/>
      <c r="L16" s="34" t="s">
        <v>98</v>
      </c>
      <c r="M16" s="34" t="s">
        <v>99</v>
      </c>
      <c r="N16" s="33" t="str">
        <f t="shared" si="2"/>
        <v>21%</v>
      </c>
      <c r="O16" s="33" t="str">
        <f t="shared" si="3"/>
        <v>30%</v>
      </c>
      <c r="P16" s="71">
        <f t="shared" si="4"/>
        <v>8.4000000000000005E-2</v>
      </c>
      <c r="Q16" s="71">
        <f t="shared" si="4"/>
        <v>0.12</v>
      </c>
      <c r="R16" s="71">
        <f t="shared" si="5"/>
        <v>0.126</v>
      </c>
      <c r="S16" s="71">
        <f t="shared" si="5"/>
        <v>0.18</v>
      </c>
      <c r="T16" s="34" t="s">
        <v>93</v>
      </c>
      <c r="U16" s="35">
        <v>333</v>
      </c>
      <c r="V16" s="41">
        <f t="shared" si="6"/>
        <v>133.20000000000002</v>
      </c>
      <c r="W16" s="41">
        <f t="shared" si="7"/>
        <v>199.79999999999998</v>
      </c>
    </row>
    <row r="17" spans="2:23" hidden="1" x14ac:dyDescent="0.25">
      <c r="B17" s="11" t="str">
        <f t="shared" si="0"/>
        <v>Strip MallDomestic Hot WaterElectric water heaters</v>
      </c>
      <c r="C17" s="11" t="s">
        <v>51</v>
      </c>
      <c r="D17" s="28" t="s">
        <v>85</v>
      </c>
      <c r="E17" s="29" t="s">
        <v>46</v>
      </c>
      <c r="F17" s="30">
        <v>0.6</v>
      </c>
      <c r="G17" s="14" t="s">
        <v>104</v>
      </c>
      <c r="H17" s="31">
        <v>1</v>
      </c>
      <c r="I17" s="92">
        <f t="shared" si="1"/>
        <v>-0.66666666666666674</v>
      </c>
      <c r="J17" s="92"/>
      <c r="K17" s="92"/>
      <c r="L17" s="34">
        <v>0</v>
      </c>
      <c r="M17" s="34" t="s">
        <v>96</v>
      </c>
      <c r="N17" s="33" t="str">
        <f t="shared" si="2"/>
        <v>1%</v>
      </c>
      <c r="O17" s="33" t="str">
        <f t="shared" si="3"/>
        <v>5%</v>
      </c>
      <c r="P17" s="71">
        <f t="shared" si="4"/>
        <v>4.0000000000000001E-3</v>
      </c>
      <c r="Q17" s="71">
        <f t="shared" si="4"/>
        <v>2.0000000000000004E-2</v>
      </c>
      <c r="R17" s="71">
        <f t="shared" si="5"/>
        <v>6.0000000000000001E-3</v>
      </c>
      <c r="S17" s="71">
        <f t="shared" si="5"/>
        <v>0.03</v>
      </c>
      <c r="T17" s="34" t="s">
        <v>88</v>
      </c>
      <c r="U17" s="35">
        <v>322</v>
      </c>
      <c r="V17" s="41">
        <f t="shared" si="6"/>
        <v>128.80000000000001</v>
      </c>
      <c r="W17" s="41">
        <f t="shared" si="7"/>
        <v>193.2</v>
      </c>
    </row>
    <row r="18" spans="2:23" ht="30" x14ac:dyDescent="0.25">
      <c r="B18" s="11" t="str">
        <f t="shared" si="0"/>
        <v>Strip MallHeating SystemRooftop air source heat pump with backup electric heat</v>
      </c>
      <c r="C18" s="11" t="s">
        <v>51</v>
      </c>
      <c r="D18" s="28" t="s">
        <v>89</v>
      </c>
      <c r="E18" s="29" t="s">
        <v>111</v>
      </c>
      <c r="F18" s="30">
        <v>0.75</v>
      </c>
      <c r="G18" s="14" t="s">
        <v>106</v>
      </c>
      <c r="H18" s="31">
        <v>3.5</v>
      </c>
      <c r="I18" s="92">
        <f t="shared" si="1"/>
        <v>-3.6666666666666665</v>
      </c>
      <c r="J18" s="92"/>
      <c r="K18" s="92"/>
      <c r="L18" s="34" t="s">
        <v>98</v>
      </c>
      <c r="M18" s="34" t="s">
        <v>107</v>
      </c>
      <c r="N18" s="33" t="str">
        <f t="shared" si="2"/>
        <v>11%</v>
      </c>
      <c r="O18" s="33" t="str">
        <f t="shared" si="3"/>
        <v>20%</v>
      </c>
      <c r="P18" s="71">
        <f t="shared" si="4"/>
        <v>4.4000000000000004E-2</v>
      </c>
      <c r="Q18" s="71">
        <f t="shared" si="4"/>
        <v>8.0000000000000016E-2</v>
      </c>
      <c r="R18" s="71">
        <f t="shared" si="5"/>
        <v>6.6000000000000003E-2</v>
      </c>
      <c r="S18" s="71">
        <f t="shared" si="5"/>
        <v>0.12</v>
      </c>
      <c r="T18" s="34" t="s">
        <v>112</v>
      </c>
      <c r="U18" s="35">
        <v>322</v>
      </c>
      <c r="V18" s="41">
        <f t="shared" si="6"/>
        <v>128.80000000000001</v>
      </c>
      <c r="W18" s="41">
        <f t="shared" si="7"/>
        <v>193.2</v>
      </c>
    </row>
    <row r="19" spans="2:23" hidden="1" x14ac:dyDescent="0.25">
      <c r="B19" s="15" t="str">
        <f t="shared" si="0"/>
        <v>Mixed UseDomestic Hot WaterHeat pump and electric resistance water heaters</v>
      </c>
      <c r="C19" s="15" t="s">
        <v>1</v>
      </c>
      <c r="D19" s="28" t="s">
        <v>85</v>
      </c>
      <c r="E19" s="29" t="s">
        <v>52</v>
      </c>
      <c r="F19" s="30">
        <v>0.7</v>
      </c>
      <c r="G19" s="14" t="s">
        <v>86</v>
      </c>
      <c r="H19" s="31">
        <v>3</v>
      </c>
      <c r="I19" s="92">
        <f t="shared" si="1"/>
        <v>-3.2857142857142856</v>
      </c>
      <c r="J19" s="92"/>
      <c r="K19" s="92"/>
      <c r="L19" s="34" t="s">
        <v>91</v>
      </c>
      <c r="M19" s="34" t="s">
        <v>107</v>
      </c>
      <c r="N19" s="33" t="str">
        <f t="shared" si="2"/>
        <v>11%</v>
      </c>
      <c r="O19" s="33" t="str">
        <f t="shared" si="3"/>
        <v>20%</v>
      </c>
      <c r="P19" s="71">
        <f t="shared" si="4"/>
        <v>4.4000000000000004E-2</v>
      </c>
      <c r="Q19" s="71">
        <f t="shared" si="4"/>
        <v>8.0000000000000016E-2</v>
      </c>
      <c r="R19" s="71">
        <f t="shared" si="5"/>
        <v>6.6000000000000003E-2</v>
      </c>
      <c r="S19" s="71">
        <f t="shared" si="5"/>
        <v>0.12</v>
      </c>
      <c r="T19" s="34" t="s">
        <v>99</v>
      </c>
      <c r="U19" s="35">
        <v>322</v>
      </c>
      <c r="V19" s="41">
        <f t="shared" si="6"/>
        <v>128.80000000000001</v>
      </c>
      <c r="W19" s="41">
        <f t="shared" si="7"/>
        <v>193.2</v>
      </c>
    </row>
    <row r="20" spans="2:23" x14ac:dyDescent="0.25">
      <c r="B20" s="15" t="str">
        <f t="shared" si="0"/>
        <v>Mixed UseHeating SystemDistrict heating and cooling systems</v>
      </c>
      <c r="C20" s="15" t="s">
        <v>1</v>
      </c>
      <c r="D20" s="28" t="s">
        <v>89</v>
      </c>
      <c r="E20" s="29" t="s">
        <v>48</v>
      </c>
      <c r="F20" s="30">
        <v>0.67500000000000004</v>
      </c>
      <c r="G20" s="14" t="s">
        <v>90</v>
      </c>
      <c r="H20" s="31">
        <v>4.5</v>
      </c>
      <c r="I20" s="92">
        <f t="shared" si="1"/>
        <v>-5.666666666666667</v>
      </c>
      <c r="J20" s="92"/>
      <c r="K20" s="92"/>
      <c r="L20" s="34" t="s">
        <v>91</v>
      </c>
      <c r="M20" s="34" t="s">
        <v>99</v>
      </c>
      <c r="N20" s="33" t="str">
        <f t="shared" si="2"/>
        <v>21%</v>
      </c>
      <c r="O20" s="33" t="str">
        <f t="shared" si="3"/>
        <v>30%</v>
      </c>
      <c r="P20" s="71">
        <f t="shared" si="4"/>
        <v>8.4000000000000005E-2</v>
      </c>
      <c r="Q20" s="71">
        <f t="shared" si="4"/>
        <v>0.12</v>
      </c>
      <c r="R20" s="71">
        <f t="shared" si="5"/>
        <v>0.126</v>
      </c>
      <c r="S20" s="71">
        <f t="shared" si="5"/>
        <v>0.18</v>
      </c>
      <c r="T20" s="34" t="s">
        <v>113</v>
      </c>
      <c r="U20" s="35">
        <v>322</v>
      </c>
      <c r="V20" s="41">
        <f t="shared" si="6"/>
        <v>128.80000000000001</v>
      </c>
      <c r="W20" s="41">
        <f t="shared" si="7"/>
        <v>193.2</v>
      </c>
    </row>
    <row r="21" spans="2:23" x14ac:dyDescent="0.25">
      <c r="B21" s="15" t="str">
        <f t="shared" si="0"/>
        <v>Mixed UseHeating SystemAir source heat pumps</v>
      </c>
      <c r="C21" s="15" t="s">
        <v>1</v>
      </c>
      <c r="D21" s="28" t="s">
        <v>89</v>
      </c>
      <c r="E21" s="29" t="s">
        <v>48</v>
      </c>
      <c r="F21" s="30">
        <v>0.67500000000000004</v>
      </c>
      <c r="G21" s="14" t="s">
        <v>94</v>
      </c>
      <c r="H21" s="31">
        <v>3.5</v>
      </c>
      <c r="I21" s="92">
        <f t="shared" si="1"/>
        <v>-4.1851851851851851</v>
      </c>
      <c r="J21" s="92"/>
      <c r="K21" s="92"/>
      <c r="L21" s="34" t="str">
        <f>L20</f>
        <v>$1 to $10</v>
      </c>
      <c r="M21" s="34" t="str">
        <f t="shared" ref="M21:M22" si="8">M20</f>
        <v>21% to 30%</v>
      </c>
      <c r="N21" s="33" t="str">
        <f t="shared" si="2"/>
        <v>21%</v>
      </c>
      <c r="O21" s="33" t="str">
        <f t="shared" si="3"/>
        <v>30%</v>
      </c>
      <c r="P21" s="71">
        <f t="shared" si="4"/>
        <v>8.4000000000000005E-2</v>
      </c>
      <c r="Q21" s="71">
        <f t="shared" si="4"/>
        <v>0.12</v>
      </c>
      <c r="R21" s="71">
        <f t="shared" si="5"/>
        <v>0.126</v>
      </c>
      <c r="S21" s="71">
        <f t="shared" si="5"/>
        <v>0.18</v>
      </c>
      <c r="T21" s="34" t="str">
        <f t="shared" ref="T21:T22" si="9">T20</f>
        <v>20% to 40%</v>
      </c>
      <c r="U21" s="35">
        <v>322</v>
      </c>
      <c r="V21" s="41">
        <f t="shared" si="6"/>
        <v>128.80000000000001</v>
      </c>
      <c r="W21" s="41">
        <f t="shared" si="7"/>
        <v>193.2</v>
      </c>
    </row>
    <row r="22" spans="2:23" x14ac:dyDescent="0.25">
      <c r="B22" s="15" t="str">
        <f t="shared" si="0"/>
        <v xml:space="preserve">Mixed UseHeating SystemGround source heat pump </v>
      </c>
      <c r="C22" s="15" t="s">
        <v>1</v>
      </c>
      <c r="D22" s="28" t="s">
        <v>89</v>
      </c>
      <c r="E22" s="29" t="s">
        <v>48</v>
      </c>
      <c r="F22" s="30">
        <v>0.67500000000000004</v>
      </c>
      <c r="G22" s="14" t="s">
        <v>114</v>
      </c>
      <c r="H22" s="31">
        <v>4.5</v>
      </c>
      <c r="I22" s="92">
        <f t="shared" si="1"/>
        <v>-5.666666666666667</v>
      </c>
      <c r="J22" s="92"/>
      <c r="K22" s="92"/>
      <c r="L22" s="34" t="str">
        <f>L21</f>
        <v>$1 to $10</v>
      </c>
      <c r="M22" s="34" t="str">
        <f t="shared" si="8"/>
        <v>21% to 30%</v>
      </c>
      <c r="N22" s="33" t="str">
        <f t="shared" si="2"/>
        <v>21%</v>
      </c>
      <c r="O22" s="33" t="str">
        <f t="shared" si="3"/>
        <v>30%</v>
      </c>
      <c r="P22" s="71">
        <f t="shared" si="4"/>
        <v>8.4000000000000005E-2</v>
      </c>
      <c r="Q22" s="71">
        <f t="shared" si="4"/>
        <v>0.12</v>
      </c>
      <c r="R22" s="71">
        <f t="shared" si="5"/>
        <v>0.126</v>
      </c>
      <c r="S22" s="71">
        <f t="shared" si="5"/>
        <v>0.18</v>
      </c>
      <c r="T22" s="34" t="str">
        <f t="shared" si="9"/>
        <v>20% to 40%</v>
      </c>
      <c r="U22" s="35">
        <v>322</v>
      </c>
      <c r="V22" s="41">
        <f t="shared" si="6"/>
        <v>128.80000000000001</v>
      </c>
      <c r="W22" s="41">
        <f t="shared" si="7"/>
        <v>193.2</v>
      </c>
    </row>
    <row r="23" spans="2:23" hidden="1" x14ac:dyDescent="0.25">
      <c r="B23" s="15" t="str">
        <f t="shared" si="0"/>
        <v>Mixed UseGas AppliancesElectric and induction ranges</v>
      </c>
      <c r="C23" s="15" t="s">
        <v>1</v>
      </c>
      <c r="D23" s="28" t="s">
        <v>100</v>
      </c>
      <c r="E23" s="29" t="s">
        <v>101</v>
      </c>
      <c r="F23" s="30">
        <v>0.55000000000000004</v>
      </c>
      <c r="G23" s="14" t="s">
        <v>102</v>
      </c>
      <c r="H23" s="31">
        <v>0.85000000000000009</v>
      </c>
      <c r="I23" s="92">
        <f t="shared" si="1"/>
        <v>-0.54545454545454553</v>
      </c>
      <c r="J23" s="92"/>
      <c r="K23" s="92"/>
      <c r="L23" s="34" t="s">
        <v>115</v>
      </c>
      <c r="M23" s="34" t="s">
        <v>88</v>
      </c>
      <c r="N23" s="33" t="str">
        <f t="shared" si="2"/>
        <v>1%</v>
      </c>
      <c r="O23" s="33" t="str">
        <f t="shared" si="3"/>
        <v>10%</v>
      </c>
      <c r="P23" s="71">
        <f t="shared" si="4"/>
        <v>4.0000000000000001E-3</v>
      </c>
      <c r="Q23" s="71">
        <f t="shared" si="4"/>
        <v>4.0000000000000008E-2</v>
      </c>
      <c r="R23" s="71">
        <f t="shared" si="5"/>
        <v>6.0000000000000001E-3</v>
      </c>
      <c r="S23" s="71">
        <f t="shared" si="5"/>
        <v>0.06</v>
      </c>
      <c r="T23" s="34" t="s">
        <v>116</v>
      </c>
      <c r="U23" s="35">
        <v>322</v>
      </c>
      <c r="V23" s="41">
        <f t="shared" si="6"/>
        <v>128.80000000000001</v>
      </c>
      <c r="W23" s="41">
        <f t="shared" si="7"/>
        <v>193.2</v>
      </c>
    </row>
    <row r="24" spans="2:23" hidden="1" x14ac:dyDescent="0.25">
      <c r="B24" s="15" t="str">
        <f t="shared" si="0"/>
        <v>Mixed UseGas AppliancesHeat pump electric dryers</v>
      </c>
      <c r="C24" s="15" t="s">
        <v>1</v>
      </c>
      <c r="D24" s="28" t="s">
        <v>100</v>
      </c>
      <c r="E24" s="29" t="s">
        <v>53</v>
      </c>
      <c r="F24" s="30">
        <v>0.45</v>
      </c>
      <c r="G24" s="14" t="s">
        <v>117</v>
      </c>
      <c r="H24" s="31">
        <v>3.5</v>
      </c>
      <c r="I24" s="92">
        <f t="shared" si="1"/>
        <v>-6.7777777777777768</v>
      </c>
      <c r="J24" s="92"/>
      <c r="K24" s="92"/>
      <c r="L24" s="34" t="str">
        <f>L23</f>
        <v>$1 to $5</v>
      </c>
      <c r="M24" s="34" t="str">
        <f t="shared" ref="M24:T24" si="10">M23</f>
        <v>1% to 10%</v>
      </c>
      <c r="N24" s="33" t="str">
        <f t="shared" si="2"/>
        <v>1%</v>
      </c>
      <c r="O24" s="33" t="str">
        <f t="shared" si="3"/>
        <v>10%</v>
      </c>
      <c r="P24" s="71">
        <f t="shared" si="4"/>
        <v>4.0000000000000001E-3</v>
      </c>
      <c r="Q24" s="71">
        <f t="shared" si="4"/>
        <v>4.0000000000000008E-2</v>
      </c>
      <c r="R24" s="71">
        <f t="shared" si="5"/>
        <v>6.0000000000000001E-3</v>
      </c>
      <c r="S24" s="71">
        <f t="shared" si="5"/>
        <v>0.06</v>
      </c>
      <c r="T24" s="34" t="str">
        <f t="shared" si="10"/>
        <v>5% to 25%</v>
      </c>
      <c r="U24" s="35">
        <v>322</v>
      </c>
      <c r="V24" s="41">
        <f t="shared" si="6"/>
        <v>128.80000000000001</v>
      </c>
      <c r="W24" s="41">
        <f t="shared" si="7"/>
        <v>193.2</v>
      </c>
    </row>
    <row r="25" spans="2:23" hidden="1" x14ac:dyDescent="0.25">
      <c r="B25" s="15" t="str">
        <f t="shared" si="0"/>
        <v>CondominiumDomestic Hot WaterHeat pump and electric resistance water heaters</v>
      </c>
      <c r="C25" s="15" t="s">
        <v>54</v>
      </c>
      <c r="D25" s="28" t="s">
        <v>85</v>
      </c>
      <c r="E25" s="29" t="s">
        <v>55</v>
      </c>
      <c r="F25" s="30">
        <v>0.7</v>
      </c>
      <c r="G25" s="14" t="s">
        <v>86</v>
      </c>
      <c r="H25" s="31">
        <v>3</v>
      </c>
      <c r="I25" s="92">
        <f t="shared" si="1"/>
        <v>-3.2857142857142856</v>
      </c>
      <c r="J25" s="92"/>
      <c r="K25" s="92"/>
      <c r="L25" s="34" t="s">
        <v>91</v>
      </c>
      <c r="M25" s="34" t="s">
        <v>88</v>
      </c>
      <c r="N25" s="33" t="str">
        <f t="shared" si="2"/>
        <v>1%</v>
      </c>
      <c r="O25" s="33" t="str">
        <f t="shared" si="3"/>
        <v>10%</v>
      </c>
      <c r="P25" s="71">
        <f t="shared" si="4"/>
        <v>4.0000000000000001E-3</v>
      </c>
      <c r="Q25" s="71">
        <f t="shared" si="4"/>
        <v>4.0000000000000008E-2</v>
      </c>
      <c r="R25" s="71">
        <f t="shared" si="5"/>
        <v>6.0000000000000001E-3</v>
      </c>
      <c r="S25" s="71">
        <f t="shared" si="5"/>
        <v>0.06</v>
      </c>
      <c r="T25" s="34" t="s">
        <v>88</v>
      </c>
      <c r="U25" s="35">
        <v>317</v>
      </c>
      <c r="V25" s="41">
        <f t="shared" si="6"/>
        <v>126.80000000000001</v>
      </c>
      <c r="W25" s="41">
        <f t="shared" si="7"/>
        <v>190.2</v>
      </c>
    </row>
    <row r="26" spans="2:23" x14ac:dyDescent="0.25">
      <c r="B26" s="15" t="str">
        <f t="shared" si="0"/>
        <v>CondominiumHeating SystemDistrict heating/cooling systems</v>
      </c>
      <c r="C26" s="15" t="s">
        <v>54</v>
      </c>
      <c r="D26" s="28" t="s">
        <v>89</v>
      </c>
      <c r="E26" s="29" t="s">
        <v>56</v>
      </c>
      <c r="F26" s="30">
        <v>0.7</v>
      </c>
      <c r="G26" s="14" t="s">
        <v>72</v>
      </c>
      <c r="H26" s="31">
        <v>4.5</v>
      </c>
      <c r="I26" s="92">
        <f t="shared" si="1"/>
        <v>-5.4285714285714288</v>
      </c>
      <c r="J26" s="92"/>
      <c r="K26" s="92"/>
      <c r="L26" s="34" t="s">
        <v>91</v>
      </c>
      <c r="M26" s="34" t="s">
        <v>107</v>
      </c>
      <c r="N26" s="33" t="str">
        <f t="shared" si="2"/>
        <v>11%</v>
      </c>
      <c r="O26" s="33" t="str">
        <f t="shared" si="3"/>
        <v>20%</v>
      </c>
      <c r="P26" s="71">
        <f t="shared" si="4"/>
        <v>4.4000000000000004E-2</v>
      </c>
      <c r="Q26" s="71">
        <f t="shared" si="4"/>
        <v>8.0000000000000016E-2</v>
      </c>
      <c r="R26" s="71">
        <f t="shared" si="5"/>
        <v>6.6000000000000003E-2</v>
      </c>
      <c r="S26" s="71">
        <f t="shared" si="5"/>
        <v>0.12</v>
      </c>
      <c r="T26" s="34" t="s">
        <v>99</v>
      </c>
      <c r="U26" s="35">
        <v>317</v>
      </c>
      <c r="V26" s="41">
        <f t="shared" si="6"/>
        <v>126.80000000000001</v>
      </c>
      <c r="W26" s="41">
        <f t="shared" si="7"/>
        <v>190.2</v>
      </c>
    </row>
    <row r="27" spans="2:23" x14ac:dyDescent="0.25">
      <c r="B27" s="15" t="str">
        <f t="shared" si="0"/>
        <v>CondominiumHeating SystemAir source heat pumps</v>
      </c>
      <c r="C27" s="15" t="s">
        <v>54</v>
      </c>
      <c r="D27" s="28" t="s">
        <v>89</v>
      </c>
      <c r="E27" s="29" t="str">
        <f>E26</f>
        <v>Central boiler serving fan coil units</v>
      </c>
      <c r="F27" s="30">
        <v>0.7</v>
      </c>
      <c r="G27" s="14" t="s">
        <v>94</v>
      </c>
      <c r="H27" s="31">
        <v>3.5</v>
      </c>
      <c r="I27" s="92">
        <f t="shared" si="1"/>
        <v>-4</v>
      </c>
      <c r="J27" s="92"/>
      <c r="K27" s="92"/>
      <c r="L27" s="34" t="str">
        <f>L26</f>
        <v>$1 to $10</v>
      </c>
      <c r="M27" s="34" t="str">
        <f t="shared" ref="M27:M28" si="11">M26</f>
        <v>11% to 20%</v>
      </c>
      <c r="N27" s="33" t="str">
        <f t="shared" si="2"/>
        <v>11%</v>
      </c>
      <c r="O27" s="33" t="str">
        <f t="shared" si="3"/>
        <v>20%</v>
      </c>
      <c r="P27" s="71">
        <f t="shared" si="4"/>
        <v>4.4000000000000004E-2</v>
      </c>
      <c r="Q27" s="71">
        <f t="shared" si="4"/>
        <v>8.0000000000000016E-2</v>
      </c>
      <c r="R27" s="71">
        <f t="shared" si="5"/>
        <v>6.6000000000000003E-2</v>
      </c>
      <c r="S27" s="71">
        <f t="shared" si="5"/>
        <v>0.12</v>
      </c>
      <c r="T27" s="34" t="str">
        <f t="shared" ref="T27:T28" si="12">T26</f>
        <v>21% to 30%</v>
      </c>
      <c r="U27" s="35">
        <v>317</v>
      </c>
      <c r="V27" s="41">
        <f t="shared" si="6"/>
        <v>126.80000000000001</v>
      </c>
      <c r="W27" s="41">
        <f t="shared" si="7"/>
        <v>190.2</v>
      </c>
    </row>
    <row r="28" spans="2:23" x14ac:dyDescent="0.25">
      <c r="B28" s="15" t="str">
        <f t="shared" si="0"/>
        <v xml:space="preserve">CondominiumHeating SystemGround source heat pump </v>
      </c>
      <c r="C28" s="15" t="s">
        <v>54</v>
      </c>
      <c r="D28" s="28" t="s">
        <v>89</v>
      </c>
      <c r="E28" s="29" t="str">
        <f>E27</f>
        <v>Central boiler serving fan coil units</v>
      </c>
      <c r="F28" s="30">
        <v>0.7</v>
      </c>
      <c r="G28" s="14" t="s">
        <v>114</v>
      </c>
      <c r="H28" s="31">
        <v>4.5</v>
      </c>
      <c r="I28" s="92">
        <f t="shared" si="1"/>
        <v>-5.4285714285714288</v>
      </c>
      <c r="J28" s="92"/>
      <c r="K28" s="92"/>
      <c r="L28" s="34" t="str">
        <f>L27</f>
        <v>$1 to $10</v>
      </c>
      <c r="M28" s="34" t="str">
        <f t="shared" si="11"/>
        <v>11% to 20%</v>
      </c>
      <c r="N28" s="33" t="str">
        <f t="shared" si="2"/>
        <v>11%</v>
      </c>
      <c r="O28" s="33" t="str">
        <f t="shared" si="3"/>
        <v>20%</v>
      </c>
      <c r="P28" s="71">
        <f t="shared" si="4"/>
        <v>4.4000000000000004E-2</v>
      </c>
      <c r="Q28" s="71">
        <f t="shared" si="4"/>
        <v>8.0000000000000016E-2</v>
      </c>
      <c r="R28" s="71">
        <f t="shared" si="5"/>
        <v>6.6000000000000003E-2</v>
      </c>
      <c r="S28" s="71">
        <f t="shared" si="5"/>
        <v>0.12</v>
      </c>
      <c r="T28" s="34" t="str">
        <f t="shared" si="12"/>
        <v>21% to 30%</v>
      </c>
      <c r="U28" s="35">
        <v>317</v>
      </c>
      <c r="V28" s="41">
        <f t="shared" si="6"/>
        <v>126.80000000000001</v>
      </c>
      <c r="W28" s="41">
        <f t="shared" si="7"/>
        <v>190.2</v>
      </c>
    </row>
    <row r="29" spans="2:23" hidden="1" x14ac:dyDescent="0.25">
      <c r="B29" s="15" t="str">
        <f t="shared" si="0"/>
        <v>CondominiumGas AppliancesElectric and induction ranges</v>
      </c>
      <c r="C29" s="15" t="s">
        <v>54</v>
      </c>
      <c r="D29" s="28" t="s">
        <v>100</v>
      </c>
      <c r="E29" s="29" t="s">
        <v>101</v>
      </c>
      <c r="F29" s="30">
        <v>0.55000000000000004</v>
      </c>
      <c r="G29" s="14" t="s">
        <v>102</v>
      </c>
      <c r="H29" s="31">
        <v>0.85000000000000009</v>
      </c>
      <c r="I29" s="92">
        <f t="shared" si="1"/>
        <v>-0.54545454545454553</v>
      </c>
      <c r="J29" s="92"/>
      <c r="K29" s="92"/>
      <c r="L29" s="34" t="s">
        <v>115</v>
      </c>
      <c r="M29" s="34" t="s">
        <v>88</v>
      </c>
      <c r="N29" s="33" t="str">
        <f t="shared" si="2"/>
        <v>1%</v>
      </c>
      <c r="O29" s="33" t="str">
        <f t="shared" si="3"/>
        <v>10%</v>
      </c>
      <c r="P29" s="71">
        <f t="shared" si="4"/>
        <v>4.0000000000000001E-3</v>
      </c>
      <c r="Q29" s="71">
        <f t="shared" si="4"/>
        <v>4.0000000000000008E-2</v>
      </c>
      <c r="R29" s="71">
        <f t="shared" si="5"/>
        <v>6.0000000000000001E-3</v>
      </c>
      <c r="S29" s="71">
        <f t="shared" si="5"/>
        <v>0.06</v>
      </c>
      <c r="T29" s="34" t="s">
        <v>118</v>
      </c>
      <c r="U29" s="35">
        <v>317</v>
      </c>
      <c r="V29" s="41">
        <f t="shared" si="6"/>
        <v>126.80000000000001</v>
      </c>
      <c r="W29" s="41">
        <f t="shared" si="7"/>
        <v>190.2</v>
      </c>
    </row>
    <row r="30" spans="2:23" hidden="1" x14ac:dyDescent="0.25">
      <c r="B30" s="15" t="str">
        <f t="shared" si="0"/>
        <v>CondominiumGas AppliancesHeat pump electric dryers</v>
      </c>
      <c r="C30" s="15" t="s">
        <v>54</v>
      </c>
      <c r="D30" s="28" t="s">
        <v>100</v>
      </c>
      <c r="E30" s="29" t="s">
        <v>53</v>
      </c>
      <c r="F30" s="30">
        <v>0.45</v>
      </c>
      <c r="G30" s="14" t="s">
        <v>117</v>
      </c>
      <c r="H30" s="31">
        <v>3.5</v>
      </c>
      <c r="I30" s="92">
        <f t="shared" si="1"/>
        <v>-6.7777777777777768</v>
      </c>
      <c r="J30" s="92"/>
      <c r="K30" s="92"/>
      <c r="L30" s="34" t="str">
        <f>L29</f>
        <v>$1 to $5</v>
      </c>
      <c r="M30" s="34" t="str">
        <f t="shared" ref="M30:T30" si="13">M29</f>
        <v>1% to 10%</v>
      </c>
      <c r="N30" s="33" t="str">
        <f t="shared" si="2"/>
        <v>1%</v>
      </c>
      <c r="O30" s="33" t="str">
        <f t="shared" si="3"/>
        <v>10%</v>
      </c>
      <c r="P30" s="71">
        <f t="shared" si="4"/>
        <v>4.0000000000000001E-3</v>
      </c>
      <c r="Q30" s="71">
        <f t="shared" si="4"/>
        <v>4.0000000000000008E-2</v>
      </c>
      <c r="R30" s="71">
        <f t="shared" si="5"/>
        <v>6.0000000000000001E-3</v>
      </c>
      <c r="S30" s="71">
        <f t="shared" si="5"/>
        <v>0.06</v>
      </c>
      <c r="T30" s="34" t="str">
        <f t="shared" si="13"/>
        <v>5% to 20%</v>
      </c>
      <c r="U30" s="35">
        <v>317</v>
      </c>
      <c r="V30" s="41">
        <f t="shared" si="6"/>
        <v>126.80000000000001</v>
      </c>
      <c r="W30" s="41">
        <f t="shared" si="7"/>
        <v>190.2</v>
      </c>
    </row>
    <row r="31" spans="2:23" hidden="1" x14ac:dyDescent="0.25">
      <c r="B31" s="28" t="str">
        <f t="shared" si="0"/>
        <v>Low Rise Rental ApartmentDomestic Hot WaterHeat pump and electric resistance water heaters</v>
      </c>
      <c r="C31" s="28" t="s">
        <v>57</v>
      </c>
      <c r="D31" s="28" t="s">
        <v>85</v>
      </c>
      <c r="E31" s="29" t="s">
        <v>52</v>
      </c>
      <c r="F31" s="30">
        <v>0.7</v>
      </c>
      <c r="G31" s="14" t="s">
        <v>86</v>
      </c>
      <c r="H31" s="31">
        <v>3</v>
      </c>
      <c r="I31" s="92">
        <f t="shared" si="1"/>
        <v>-3.2857142857142856</v>
      </c>
      <c r="J31" s="92"/>
      <c r="K31" s="92"/>
      <c r="L31" s="34" t="s">
        <v>91</v>
      </c>
      <c r="M31" s="34" t="s">
        <v>107</v>
      </c>
      <c r="N31" s="33" t="str">
        <f t="shared" si="2"/>
        <v>11%</v>
      </c>
      <c r="O31" s="33" t="str">
        <f t="shared" si="3"/>
        <v>20%</v>
      </c>
      <c r="P31" s="71">
        <f t="shared" si="4"/>
        <v>4.4000000000000004E-2</v>
      </c>
      <c r="Q31" s="71">
        <f t="shared" si="4"/>
        <v>8.0000000000000016E-2</v>
      </c>
      <c r="R31" s="71">
        <f t="shared" si="5"/>
        <v>6.6000000000000003E-2</v>
      </c>
      <c r="S31" s="71">
        <f t="shared" si="5"/>
        <v>0.12</v>
      </c>
      <c r="T31" s="34" t="s">
        <v>99</v>
      </c>
      <c r="U31" s="35">
        <v>317</v>
      </c>
      <c r="V31" s="41">
        <f t="shared" si="6"/>
        <v>126.80000000000001</v>
      </c>
      <c r="W31" s="41">
        <f t="shared" si="7"/>
        <v>190.2</v>
      </c>
    </row>
    <row r="32" spans="2:23" hidden="1" x14ac:dyDescent="0.25">
      <c r="B32" s="28" t="str">
        <f t="shared" si="0"/>
        <v>Low Rise Rental ApartmentDomestic Hot WaterHeat pump and electric resistance water heaters</v>
      </c>
      <c r="C32" s="28" t="s">
        <v>57</v>
      </c>
      <c r="D32" s="28" t="s">
        <v>85</v>
      </c>
      <c r="E32" s="29" t="s">
        <v>46</v>
      </c>
      <c r="F32" s="30">
        <v>0.6</v>
      </c>
      <c r="G32" s="14" t="str">
        <f>G31</f>
        <v>Heat pump and electric resistance water heaters</v>
      </c>
      <c r="H32" s="31">
        <v>3</v>
      </c>
      <c r="I32" s="92">
        <f t="shared" si="1"/>
        <v>-4</v>
      </c>
      <c r="J32" s="92"/>
      <c r="K32" s="92"/>
      <c r="L32" s="34" t="str">
        <f>L31</f>
        <v>$1 to $10</v>
      </c>
      <c r="M32" s="34" t="str">
        <f t="shared" ref="M32" si="14">M31</f>
        <v>11% to 20%</v>
      </c>
      <c r="N32" s="33" t="str">
        <f t="shared" si="2"/>
        <v>11%</v>
      </c>
      <c r="O32" s="33" t="str">
        <f t="shared" si="3"/>
        <v>20%</v>
      </c>
      <c r="P32" s="71">
        <f t="shared" si="4"/>
        <v>4.4000000000000004E-2</v>
      </c>
      <c r="Q32" s="71">
        <f t="shared" si="4"/>
        <v>8.0000000000000016E-2</v>
      </c>
      <c r="R32" s="71">
        <f t="shared" si="5"/>
        <v>6.6000000000000003E-2</v>
      </c>
      <c r="S32" s="71">
        <f t="shared" si="5"/>
        <v>0.12</v>
      </c>
      <c r="T32" s="34" t="str">
        <f t="shared" ref="T32" si="15">T31</f>
        <v>21% to 30%</v>
      </c>
      <c r="U32" s="35">
        <v>317</v>
      </c>
      <c r="V32" s="41">
        <f t="shared" si="6"/>
        <v>126.80000000000001</v>
      </c>
      <c r="W32" s="41">
        <f t="shared" si="7"/>
        <v>190.2</v>
      </c>
    </row>
    <row r="33" spans="2:23" x14ac:dyDescent="0.25">
      <c r="B33" s="28" t="str">
        <f t="shared" si="0"/>
        <v>Low Rise Rental ApartmentHeating SystemDistrict heating and cooling systems</v>
      </c>
      <c r="C33" s="28" t="s">
        <v>57</v>
      </c>
      <c r="D33" s="28" t="s">
        <v>89</v>
      </c>
      <c r="E33" s="29" t="s">
        <v>119</v>
      </c>
      <c r="F33" s="30">
        <v>0.75</v>
      </c>
      <c r="G33" s="14" t="s">
        <v>90</v>
      </c>
      <c r="H33" s="31">
        <v>4.5</v>
      </c>
      <c r="I33" s="92">
        <f t="shared" si="1"/>
        <v>-5</v>
      </c>
      <c r="J33" s="92"/>
      <c r="K33" s="92"/>
      <c r="L33" s="34" t="s">
        <v>98</v>
      </c>
      <c r="M33" s="34" t="s">
        <v>99</v>
      </c>
      <c r="N33" s="33" t="str">
        <f t="shared" si="2"/>
        <v>21%</v>
      </c>
      <c r="O33" s="33" t="str">
        <f t="shared" si="3"/>
        <v>30%</v>
      </c>
      <c r="P33" s="71">
        <f t="shared" si="4"/>
        <v>8.4000000000000005E-2</v>
      </c>
      <c r="Q33" s="71">
        <f t="shared" si="4"/>
        <v>0.12</v>
      </c>
      <c r="R33" s="71">
        <f t="shared" si="5"/>
        <v>0.126</v>
      </c>
      <c r="S33" s="71">
        <f t="shared" si="5"/>
        <v>0.18</v>
      </c>
      <c r="T33" s="34" t="s">
        <v>120</v>
      </c>
      <c r="U33" s="35">
        <v>317</v>
      </c>
      <c r="V33" s="41">
        <f t="shared" si="6"/>
        <v>126.80000000000001</v>
      </c>
      <c r="W33" s="41">
        <f t="shared" si="7"/>
        <v>190.2</v>
      </c>
    </row>
    <row r="34" spans="2:23" x14ac:dyDescent="0.25">
      <c r="B34" s="28" t="str">
        <f t="shared" si="0"/>
        <v>Low Rise Rental ApartmentHeating SystemAir source heat pumps</v>
      </c>
      <c r="C34" s="28" t="s">
        <v>57</v>
      </c>
      <c r="D34" s="28" t="s">
        <v>89</v>
      </c>
      <c r="E34" s="29" t="str">
        <f>E33</f>
        <v>Central boiler and hydronic baseboard heating</v>
      </c>
      <c r="F34" s="30">
        <v>0.75</v>
      </c>
      <c r="G34" s="14" t="s">
        <v>94</v>
      </c>
      <c r="H34" s="31">
        <v>3.5</v>
      </c>
      <c r="I34" s="92">
        <f t="shared" si="1"/>
        <v>-3.6666666666666665</v>
      </c>
      <c r="J34" s="92"/>
      <c r="K34" s="92"/>
      <c r="L34" s="34" t="str">
        <f>L33</f>
        <v>$11 to $25</v>
      </c>
      <c r="M34" s="34" t="str">
        <f t="shared" ref="M34:M35" si="16">M33</f>
        <v>21% to 30%</v>
      </c>
      <c r="N34" s="33" t="str">
        <f t="shared" si="2"/>
        <v>21%</v>
      </c>
      <c r="O34" s="33" t="str">
        <f t="shared" si="3"/>
        <v>30%</v>
      </c>
      <c r="P34" s="71">
        <f t="shared" si="4"/>
        <v>8.4000000000000005E-2</v>
      </c>
      <c r="Q34" s="71">
        <f t="shared" si="4"/>
        <v>0.12</v>
      </c>
      <c r="R34" s="71">
        <f t="shared" si="5"/>
        <v>0.126</v>
      </c>
      <c r="S34" s="71">
        <f t="shared" si="5"/>
        <v>0.18</v>
      </c>
      <c r="T34" s="34" t="str">
        <f t="shared" ref="T34:T35" si="17">T33</f>
        <v>31% to 40%</v>
      </c>
      <c r="U34" s="35">
        <v>317</v>
      </c>
      <c r="V34" s="41">
        <f t="shared" si="6"/>
        <v>126.80000000000001</v>
      </c>
      <c r="W34" s="41">
        <f t="shared" si="7"/>
        <v>190.2</v>
      </c>
    </row>
    <row r="35" spans="2:23" x14ac:dyDescent="0.25">
      <c r="B35" s="28" t="str">
        <f t="shared" si="0"/>
        <v xml:space="preserve">Low Rise Rental ApartmentHeating SystemGround source heat pump </v>
      </c>
      <c r="C35" s="28" t="s">
        <v>57</v>
      </c>
      <c r="D35" s="28" t="s">
        <v>89</v>
      </c>
      <c r="E35" s="29" t="str">
        <f>E33</f>
        <v>Central boiler and hydronic baseboard heating</v>
      </c>
      <c r="F35" s="30">
        <v>0.75</v>
      </c>
      <c r="G35" s="14" t="s">
        <v>114</v>
      </c>
      <c r="H35" s="31">
        <v>4.5</v>
      </c>
      <c r="I35" s="92">
        <f t="shared" si="1"/>
        <v>-5</v>
      </c>
      <c r="J35" s="92"/>
      <c r="K35" s="92"/>
      <c r="L35" s="34" t="str">
        <f>L34</f>
        <v>$11 to $25</v>
      </c>
      <c r="M35" s="34" t="str">
        <f t="shared" si="16"/>
        <v>21% to 30%</v>
      </c>
      <c r="N35" s="33" t="str">
        <f t="shared" si="2"/>
        <v>21%</v>
      </c>
      <c r="O35" s="33" t="str">
        <f t="shared" si="3"/>
        <v>30%</v>
      </c>
      <c r="P35" s="71">
        <f t="shared" si="4"/>
        <v>8.4000000000000005E-2</v>
      </c>
      <c r="Q35" s="71">
        <f t="shared" si="4"/>
        <v>0.12</v>
      </c>
      <c r="R35" s="71">
        <f t="shared" si="5"/>
        <v>0.126</v>
      </c>
      <c r="S35" s="71">
        <f t="shared" si="5"/>
        <v>0.18</v>
      </c>
      <c r="T35" s="34" t="str">
        <f t="shared" si="17"/>
        <v>31% to 40%</v>
      </c>
      <c r="U35" s="35">
        <v>317</v>
      </c>
      <c r="V35" s="41">
        <f t="shared" si="6"/>
        <v>126.80000000000001</v>
      </c>
      <c r="W35" s="41">
        <f t="shared" si="7"/>
        <v>190.2</v>
      </c>
    </row>
    <row r="36" spans="2:23" hidden="1" x14ac:dyDescent="0.25">
      <c r="B36" s="28" t="str">
        <f t="shared" si="0"/>
        <v>Low Rise Rental ApartmentGas AppliancesElectric and induction ranges</v>
      </c>
      <c r="C36" s="28" t="s">
        <v>57</v>
      </c>
      <c r="D36" s="28" t="s">
        <v>100</v>
      </c>
      <c r="E36" s="29" t="s">
        <v>101</v>
      </c>
      <c r="F36" s="30">
        <v>0.55000000000000004</v>
      </c>
      <c r="G36" s="14" t="s">
        <v>102</v>
      </c>
      <c r="H36" s="31">
        <v>0.85000000000000009</v>
      </c>
      <c r="I36" s="92">
        <f t="shared" si="1"/>
        <v>-0.54545454545454553</v>
      </c>
      <c r="J36" s="92"/>
      <c r="K36" s="92"/>
      <c r="L36" s="34" t="s">
        <v>115</v>
      </c>
      <c r="M36" s="34" t="s">
        <v>88</v>
      </c>
      <c r="N36" s="33" t="str">
        <f t="shared" si="2"/>
        <v>1%</v>
      </c>
      <c r="O36" s="33" t="str">
        <f t="shared" si="3"/>
        <v>10%</v>
      </c>
      <c r="P36" s="71">
        <f t="shared" si="4"/>
        <v>4.0000000000000001E-3</v>
      </c>
      <c r="Q36" s="71">
        <f t="shared" si="4"/>
        <v>4.0000000000000008E-2</v>
      </c>
      <c r="R36" s="71">
        <f t="shared" si="5"/>
        <v>6.0000000000000001E-3</v>
      </c>
      <c r="S36" s="71">
        <f t="shared" si="5"/>
        <v>0.06</v>
      </c>
      <c r="T36" s="34" t="s">
        <v>118</v>
      </c>
      <c r="U36" s="35">
        <v>317</v>
      </c>
      <c r="V36" s="41">
        <f t="shared" si="6"/>
        <v>126.80000000000001</v>
      </c>
      <c r="W36" s="41">
        <f t="shared" si="7"/>
        <v>190.2</v>
      </c>
    </row>
    <row r="37" spans="2:23" hidden="1" x14ac:dyDescent="0.25">
      <c r="B37" s="28" t="str">
        <f t="shared" si="0"/>
        <v>Low Rise Rental ApartmentGas AppliancesHeat pump electric dryers</v>
      </c>
      <c r="C37" s="28" t="s">
        <v>57</v>
      </c>
      <c r="D37" s="28" t="s">
        <v>100</v>
      </c>
      <c r="E37" s="29" t="s">
        <v>53</v>
      </c>
      <c r="F37" s="30">
        <v>0.45</v>
      </c>
      <c r="G37" s="14" t="s">
        <v>117</v>
      </c>
      <c r="H37" s="31">
        <v>3.5</v>
      </c>
      <c r="I37" s="92">
        <f t="shared" si="1"/>
        <v>-6.7777777777777768</v>
      </c>
      <c r="J37" s="92"/>
      <c r="K37" s="92"/>
      <c r="L37" s="34" t="str">
        <f>L36</f>
        <v>$1 to $5</v>
      </c>
      <c r="M37" s="34" t="str">
        <f t="shared" ref="M37:T37" si="18">M36</f>
        <v>1% to 10%</v>
      </c>
      <c r="N37" s="33" t="str">
        <f t="shared" si="2"/>
        <v>1%</v>
      </c>
      <c r="O37" s="33" t="str">
        <f t="shared" si="3"/>
        <v>10%</v>
      </c>
      <c r="P37" s="71">
        <f t="shared" si="4"/>
        <v>4.0000000000000001E-3</v>
      </c>
      <c r="Q37" s="71">
        <f t="shared" si="4"/>
        <v>4.0000000000000008E-2</v>
      </c>
      <c r="R37" s="71">
        <f t="shared" si="5"/>
        <v>6.0000000000000001E-3</v>
      </c>
      <c r="S37" s="71">
        <f t="shared" si="5"/>
        <v>0.06</v>
      </c>
      <c r="T37" s="34" t="str">
        <f t="shared" si="18"/>
        <v>5% to 20%</v>
      </c>
      <c r="U37" s="35">
        <v>317</v>
      </c>
      <c r="V37" s="41">
        <f t="shared" si="6"/>
        <v>126.80000000000001</v>
      </c>
      <c r="W37" s="41">
        <f t="shared" si="7"/>
        <v>190.2</v>
      </c>
    </row>
    <row r="38" spans="2:23" hidden="1" x14ac:dyDescent="0.25">
      <c r="B38" s="28" t="str">
        <f t="shared" si="0"/>
        <v>Single Family Home AttachedDomestic Hot WaterElectric water heaters</v>
      </c>
      <c r="C38" s="28" t="s">
        <v>58</v>
      </c>
      <c r="D38" s="28" t="s">
        <v>85</v>
      </c>
      <c r="E38" s="29" t="s">
        <v>46</v>
      </c>
      <c r="F38" s="30">
        <v>0.6</v>
      </c>
      <c r="G38" s="14" t="s">
        <v>104</v>
      </c>
      <c r="H38" s="31">
        <v>1</v>
      </c>
      <c r="I38" s="92">
        <f t="shared" si="1"/>
        <v>-0.66666666666666674</v>
      </c>
      <c r="J38" s="92"/>
      <c r="K38" s="92"/>
      <c r="L38" s="34" t="s">
        <v>91</v>
      </c>
      <c r="M38" s="34" t="s">
        <v>107</v>
      </c>
      <c r="N38" s="33" t="str">
        <f t="shared" si="2"/>
        <v>11%</v>
      </c>
      <c r="O38" s="33" t="str">
        <f t="shared" si="3"/>
        <v>20%</v>
      </c>
      <c r="P38" s="71">
        <f t="shared" si="4"/>
        <v>4.4000000000000004E-2</v>
      </c>
      <c r="Q38" s="71">
        <f t="shared" si="4"/>
        <v>8.0000000000000016E-2</v>
      </c>
      <c r="R38" s="71">
        <f t="shared" si="5"/>
        <v>6.6000000000000003E-2</v>
      </c>
      <c r="S38" s="71">
        <f t="shared" si="5"/>
        <v>0.12</v>
      </c>
      <c r="T38" s="34" t="s">
        <v>107</v>
      </c>
      <c r="U38" s="35">
        <v>317</v>
      </c>
      <c r="V38" s="41">
        <f t="shared" si="6"/>
        <v>126.80000000000001</v>
      </c>
      <c r="W38" s="41">
        <f t="shared" si="7"/>
        <v>190.2</v>
      </c>
    </row>
    <row r="39" spans="2:23" x14ac:dyDescent="0.25">
      <c r="B39" s="28" t="str">
        <f t="shared" si="0"/>
        <v>Single Family Home AttachedHeating SystemAir source heat pumps</v>
      </c>
      <c r="C39" s="28" t="s">
        <v>58</v>
      </c>
      <c r="D39" s="28" t="s">
        <v>89</v>
      </c>
      <c r="E39" s="29" t="s">
        <v>59</v>
      </c>
      <c r="F39" s="30">
        <v>0.64999999999999991</v>
      </c>
      <c r="G39" s="14" t="s">
        <v>94</v>
      </c>
      <c r="H39" s="31">
        <v>3.5</v>
      </c>
      <c r="I39" s="92">
        <f t="shared" si="1"/>
        <v>-4.384615384615385</v>
      </c>
      <c r="J39" s="92"/>
      <c r="K39" s="92"/>
      <c r="L39" s="34" t="str">
        <f>L38</f>
        <v>$1 to $10</v>
      </c>
      <c r="M39" s="34" t="s">
        <v>121</v>
      </c>
      <c r="N39" s="33">
        <v>0</v>
      </c>
      <c r="O39" s="33" t="str">
        <f t="shared" si="3"/>
        <v>45%</v>
      </c>
      <c r="P39" s="71">
        <f t="shared" si="4"/>
        <v>0</v>
      </c>
      <c r="Q39" s="71">
        <f t="shared" si="4"/>
        <v>0.18000000000000002</v>
      </c>
      <c r="R39" s="71">
        <f t="shared" si="5"/>
        <v>0</v>
      </c>
      <c r="S39" s="71">
        <f t="shared" si="5"/>
        <v>0.27</v>
      </c>
      <c r="T39" s="34" t="s">
        <v>121</v>
      </c>
      <c r="U39" s="35">
        <v>317</v>
      </c>
      <c r="V39" s="41">
        <f t="shared" si="6"/>
        <v>126.80000000000001</v>
      </c>
      <c r="W39" s="41">
        <f t="shared" si="7"/>
        <v>190.2</v>
      </c>
    </row>
    <row r="40" spans="2:23" hidden="1" x14ac:dyDescent="0.25">
      <c r="B40" s="28" t="str">
        <f t="shared" si="0"/>
        <v>Single Family Home AttachedGas Appliances Electric and induction ranges</v>
      </c>
      <c r="C40" s="28" t="s">
        <v>58</v>
      </c>
      <c r="D40" s="28" t="s">
        <v>122</v>
      </c>
      <c r="E40" s="29" t="s">
        <v>101</v>
      </c>
      <c r="F40" s="30">
        <v>0.55000000000000004</v>
      </c>
      <c r="G40" s="14" t="s">
        <v>102</v>
      </c>
      <c r="H40" s="31">
        <v>0.85000000000000009</v>
      </c>
      <c r="I40" s="92">
        <f t="shared" si="1"/>
        <v>-0.54545454545454553</v>
      </c>
      <c r="J40" s="92"/>
      <c r="K40" s="92"/>
      <c r="L40" s="34" t="s">
        <v>115</v>
      </c>
      <c r="M40" s="34" t="s">
        <v>88</v>
      </c>
      <c r="N40" s="33" t="str">
        <f t="shared" si="2"/>
        <v>1%</v>
      </c>
      <c r="O40" s="33" t="str">
        <f t="shared" si="3"/>
        <v>10%</v>
      </c>
      <c r="P40" s="71">
        <f t="shared" si="4"/>
        <v>4.0000000000000001E-3</v>
      </c>
      <c r="Q40" s="71">
        <f t="shared" si="4"/>
        <v>4.0000000000000008E-2</v>
      </c>
      <c r="R40" s="71">
        <f t="shared" si="5"/>
        <v>6.0000000000000001E-3</v>
      </c>
      <c r="S40" s="71">
        <f t="shared" si="5"/>
        <v>0.06</v>
      </c>
      <c r="T40" s="34" t="s">
        <v>118</v>
      </c>
      <c r="U40" s="35">
        <v>317</v>
      </c>
      <c r="V40" s="41">
        <f t="shared" si="6"/>
        <v>126.80000000000001</v>
      </c>
      <c r="W40" s="41">
        <f t="shared" si="7"/>
        <v>190.2</v>
      </c>
    </row>
    <row r="41" spans="2:23" hidden="1" x14ac:dyDescent="0.25">
      <c r="B41" s="28" t="str">
        <f t="shared" si="0"/>
        <v>Single Family Home AttachedGas Appliances Heat pump and electric dryers</v>
      </c>
      <c r="C41" s="28" t="s">
        <v>58</v>
      </c>
      <c r="D41" s="28" t="s">
        <v>122</v>
      </c>
      <c r="E41" s="29" t="s">
        <v>53</v>
      </c>
      <c r="F41" s="30">
        <v>0.45</v>
      </c>
      <c r="G41" s="14" t="s">
        <v>123</v>
      </c>
      <c r="H41" s="31">
        <v>3.5</v>
      </c>
      <c r="I41" s="92">
        <f t="shared" si="1"/>
        <v>-6.7777777777777768</v>
      </c>
      <c r="J41" s="92"/>
      <c r="K41" s="92"/>
      <c r="L41" s="34" t="str">
        <f>L40</f>
        <v>$1 to $5</v>
      </c>
      <c r="M41" s="34" t="str">
        <f t="shared" ref="M41:T41" si="19">M40</f>
        <v>1% to 10%</v>
      </c>
      <c r="N41" s="33" t="str">
        <f t="shared" si="2"/>
        <v>1%</v>
      </c>
      <c r="O41" s="33" t="str">
        <f t="shared" si="3"/>
        <v>10%</v>
      </c>
      <c r="P41" s="71">
        <f t="shared" si="4"/>
        <v>4.0000000000000001E-3</v>
      </c>
      <c r="Q41" s="71">
        <f t="shared" si="4"/>
        <v>4.0000000000000008E-2</v>
      </c>
      <c r="R41" s="71">
        <f t="shared" si="5"/>
        <v>6.0000000000000001E-3</v>
      </c>
      <c r="S41" s="71">
        <f t="shared" si="5"/>
        <v>0.06</v>
      </c>
      <c r="T41" s="34" t="str">
        <f t="shared" si="19"/>
        <v>5% to 20%</v>
      </c>
      <c r="U41" s="35">
        <v>317</v>
      </c>
      <c r="V41" s="41">
        <f t="shared" si="6"/>
        <v>126.80000000000001</v>
      </c>
      <c r="W41" s="41">
        <f t="shared" si="7"/>
        <v>190.2</v>
      </c>
    </row>
    <row r="42" spans="2:23" hidden="1" x14ac:dyDescent="0.25">
      <c r="B42" s="28" t="str">
        <f t="shared" si="0"/>
        <v>Single Family Home DetachedDomestic Hot WaterElectric water heaters</v>
      </c>
      <c r="C42" s="28" t="s">
        <v>60</v>
      </c>
      <c r="D42" s="28" t="s">
        <v>85</v>
      </c>
      <c r="E42" s="29" t="s">
        <v>61</v>
      </c>
      <c r="F42" s="30">
        <v>0.6</v>
      </c>
      <c r="G42" s="14" t="s">
        <v>104</v>
      </c>
      <c r="H42" s="31">
        <v>1</v>
      </c>
      <c r="I42" s="92">
        <f t="shared" si="1"/>
        <v>-0.66666666666666674</v>
      </c>
      <c r="J42" s="92"/>
      <c r="K42" s="92"/>
      <c r="L42" s="34" t="s">
        <v>91</v>
      </c>
      <c r="M42" s="34" t="s">
        <v>99</v>
      </c>
      <c r="N42" s="33" t="str">
        <f t="shared" si="2"/>
        <v>21%</v>
      </c>
      <c r="O42" s="33" t="str">
        <f t="shared" si="3"/>
        <v>30%</v>
      </c>
      <c r="P42" s="71">
        <f t="shared" si="4"/>
        <v>8.4000000000000005E-2</v>
      </c>
      <c r="Q42" s="71">
        <f t="shared" si="4"/>
        <v>0.12</v>
      </c>
      <c r="R42" s="71">
        <f t="shared" si="5"/>
        <v>0.126</v>
      </c>
      <c r="S42" s="71">
        <f t="shared" si="5"/>
        <v>0.18</v>
      </c>
      <c r="T42" s="34" t="s">
        <v>99</v>
      </c>
      <c r="U42" s="35">
        <v>317</v>
      </c>
      <c r="V42" s="41">
        <f t="shared" si="6"/>
        <v>126.80000000000001</v>
      </c>
      <c r="W42" s="41">
        <f t="shared" si="7"/>
        <v>190.2</v>
      </c>
    </row>
    <row r="43" spans="2:23" x14ac:dyDescent="0.25">
      <c r="B43" s="28" t="str">
        <f t="shared" si="0"/>
        <v>Single Family Home DetachedHeating SystemAir source heat pumps</v>
      </c>
      <c r="C43" s="28" t="s">
        <v>60</v>
      </c>
      <c r="D43" s="28" t="s">
        <v>89</v>
      </c>
      <c r="E43" s="29" t="s">
        <v>48</v>
      </c>
      <c r="F43" s="30">
        <v>0.67500000000000004</v>
      </c>
      <c r="G43" s="14" t="s">
        <v>94</v>
      </c>
      <c r="H43" s="31">
        <v>3.5</v>
      </c>
      <c r="I43" s="92">
        <f t="shared" si="1"/>
        <v>-4.1851851851851851</v>
      </c>
      <c r="J43" s="92"/>
      <c r="K43" s="92"/>
      <c r="L43" s="34" t="str">
        <f>L42</f>
        <v>$1 to $10</v>
      </c>
      <c r="M43" s="34" t="s">
        <v>124</v>
      </c>
      <c r="N43" s="33">
        <v>0</v>
      </c>
      <c r="O43" s="33" t="str">
        <f t="shared" si="3"/>
        <v>55%</v>
      </c>
      <c r="P43" s="71">
        <f t="shared" si="4"/>
        <v>0</v>
      </c>
      <c r="Q43" s="71">
        <f t="shared" si="4"/>
        <v>0.22000000000000003</v>
      </c>
      <c r="R43" s="71">
        <f t="shared" si="5"/>
        <v>0</v>
      </c>
      <c r="S43" s="71">
        <f t="shared" si="5"/>
        <v>0.33</v>
      </c>
      <c r="T43" s="34" t="s">
        <v>124</v>
      </c>
      <c r="U43" s="35">
        <v>317</v>
      </c>
      <c r="V43" s="41">
        <f t="shared" si="6"/>
        <v>126.80000000000001</v>
      </c>
      <c r="W43" s="41">
        <f t="shared" si="7"/>
        <v>190.2</v>
      </c>
    </row>
    <row r="44" spans="2:23" hidden="1" x14ac:dyDescent="0.25">
      <c r="B44" s="28" t="str">
        <f t="shared" si="0"/>
        <v>Single Family Home DetachedGas Appliances Electric and induction ranges</v>
      </c>
      <c r="C44" s="28" t="s">
        <v>60</v>
      </c>
      <c r="D44" s="28" t="s">
        <v>122</v>
      </c>
      <c r="E44" s="29" t="s">
        <v>49</v>
      </c>
      <c r="F44" s="30">
        <v>0.55000000000000004</v>
      </c>
      <c r="G44" s="14" t="s">
        <v>102</v>
      </c>
      <c r="H44" s="31">
        <v>0.85000000000000009</v>
      </c>
      <c r="I44" s="92">
        <f t="shared" si="1"/>
        <v>-0.54545454545454553</v>
      </c>
      <c r="J44" s="92"/>
      <c r="K44" s="92"/>
      <c r="L44" s="34" t="s">
        <v>115</v>
      </c>
      <c r="M44" s="34" t="s">
        <v>88</v>
      </c>
      <c r="N44" s="33" t="str">
        <f t="shared" si="2"/>
        <v>1%</v>
      </c>
      <c r="O44" s="33" t="str">
        <f t="shared" si="3"/>
        <v>10%</v>
      </c>
      <c r="P44" s="71">
        <f t="shared" si="4"/>
        <v>4.0000000000000001E-3</v>
      </c>
      <c r="Q44" s="71">
        <f t="shared" si="4"/>
        <v>4.0000000000000008E-2</v>
      </c>
      <c r="R44" s="71">
        <f t="shared" si="5"/>
        <v>6.0000000000000001E-3</v>
      </c>
      <c r="S44" s="71">
        <f t="shared" si="5"/>
        <v>0.06</v>
      </c>
      <c r="T44" s="34" t="s">
        <v>118</v>
      </c>
      <c r="U44" s="35">
        <v>317</v>
      </c>
      <c r="V44" s="41">
        <f t="shared" si="6"/>
        <v>126.80000000000001</v>
      </c>
      <c r="W44" s="41">
        <f t="shared" si="7"/>
        <v>190.2</v>
      </c>
    </row>
    <row r="45" spans="2:23" hidden="1" x14ac:dyDescent="0.25">
      <c r="B45" s="28" t="str">
        <f t="shared" si="0"/>
        <v>Single Family Home DetachedGas Appliances Heat pump and electric dryers</v>
      </c>
      <c r="C45" s="28" t="s">
        <v>60</v>
      </c>
      <c r="D45" s="28" t="s">
        <v>122</v>
      </c>
      <c r="E45" s="29" t="s">
        <v>53</v>
      </c>
      <c r="F45" s="30">
        <v>0.45</v>
      </c>
      <c r="G45" s="14" t="s">
        <v>123</v>
      </c>
      <c r="H45" s="31">
        <v>3.5</v>
      </c>
      <c r="I45" s="92">
        <f t="shared" si="1"/>
        <v>-6.7777777777777768</v>
      </c>
      <c r="J45" s="92"/>
      <c r="K45" s="92"/>
      <c r="L45" s="34" t="str">
        <f>L44</f>
        <v>$1 to $5</v>
      </c>
      <c r="M45" s="34" t="str">
        <f>M44</f>
        <v>1% to 10%</v>
      </c>
      <c r="N45" s="33" t="str">
        <f t="shared" si="2"/>
        <v>1%</v>
      </c>
      <c r="O45" s="33" t="str">
        <f t="shared" si="3"/>
        <v>10%</v>
      </c>
      <c r="P45" s="71">
        <f t="shared" si="4"/>
        <v>4.0000000000000001E-3</v>
      </c>
      <c r="Q45" s="71">
        <f t="shared" si="4"/>
        <v>4.0000000000000008E-2</v>
      </c>
      <c r="R45" s="71">
        <f t="shared" si="5"/>
        <v>6.0000000000000001E-3</v>
      </c>
      <c r="S45" s="71">
        <f t="shared" si="5"/>
        <v>0.06</v>
      </c>
      <c r="T45" s="34" t="str">
        <f>T44</f>
        <v>5% to 20%</v>
      </c>
      <c r="U45" s="35">
        <v>317</v>
      </c>
      <c r="V45" s="41">
        <f t="shared" si="6"/>
        <v>126.80000000000001</v>
      </c>
      <c r="W45" s="41">
        <f t="shared" si="7"/>
        <v>190.2</v>
      </c>
    </row>
  </sheetData>
  <autoFilter ref="C2:U45" xr:uid="{5E3B1B9F-343B-409E-B695-C91939C7A08C}">
    <filterColumn colId="1">
      <filters>
        <filter val="Heating System"/>
      </filters>
    </filterColumn>
  </autoFilter>
  <mergeCells count="5">
    <mergeCell ref="C2:C3"/>
    <mergeCell ref="D2:D3"/>
    <mergeCell ref="E2:E3"/>
    <mergeCell ref="G2:G3"/>
    <mergeCell ref="B2:B3"/>
  </mergeCells>
  <pageMargins left="0.7" right="0.7" top="0.75" bottom="0.75" header="0.3" footer="0.3"/>
  <pageSetup paperSize="9" scale="5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3955-2DBE-4F9C-BCD9-928325AA2FAA}">
  <dimension ref="A45:L45"/>
  <sheetViews>
    <sheetView topLeftCell="A17" zoomScale="70" zoomScaleNormal="70" workbookViewId="0">
      <selection activeCell="W65" sqref="W65"/>
    </sheetView>
  </sheetViews>
  <sheetFormatPr defaultRowHeight="15" x14ac:dyDescent="0.25"/>
  <sheetData>
    <row r="45" spans="1:12" x14ac:dyDescent="0.25">
      <c r="A45" s="16" t="s">
        <v>74</v>
      </c>
      <c r="L45" s="16" t="s">
        <v>75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DC613-C6EA-410A-99F9-FF576D083D99}">
  <sheetPr>
    <pageSetUpPr fitToPage="1"/>
  </sheetPr>
  <dimension ref="A1:AS71"/>
  <sheetViews>
    <sheetView showGridLines="0" tabSelected="1" zoomScale="85" zoomScaleNormal="85" zoomScaleSheetLayoutView="78" workbookViewId="0">
      <selection activeCell="E24" sqref="E24:G24"/>
    </sheetView>
  </sheetViews>
  <sheetFormatPr defaultRowHeight="15" x14ac:dyDescent="0.25"/>
  <cols>
    <col min="1" max="1" width="3.7109375" style="48" customWidth="1"/>
    <col min="2" max="2" width="2.85546875" style="48" customWidth="1"/>
    <col min="3" max="3" width="2.5703125" style="48" customWidth="1"/>
    <col min="4" max="4" width="21.7109375" style="48" customWidth="1"/>
    <col min="5" max="5" width="16.42578125" style="48" bestFit="1" customWidth="1"/>
    <col min="6" max="6" width="12.7109375" style="48" customWidth="1"/>
    <col min="7" max="7" width="18" style="48" customWidth="1"/>
    <col min="8" max="8" width="8.7109375" style="48" customWidth="1"/>
    <col min="9" max="9" width="2.5703125" style="48" customWidth="1"/>
    <col min="10" max="11" width="2.85546875" style="48" customWidth="1"/>
    <col min="12" max="12" width="19.85546875" style="48" customWidth="1"/>
    <col min="13" max="13" width="37.140625" style="48" customWidth="1"/>
    <col min="14" max="14" width="2.85546875" style="48" customWidth="1"/>
    <col min="15" max="15" width="19.7109375" style="48" customWidth="1"/>
    <col min="16" max="16" width="37.140625" style="48" customWidth="1"/>
    <col min="17" max="17" width="2.85546875" style="48" customWidth="1"/>
    <col min="18" max="18" width="19.7109375" style="48" customWidth="1"/>
    <col min="19" max="19" width="37.140625" style="48" customWidth="1"/>
    <col min="20" max="21" width="2.85546875" style="48" customWidth="1"/>
    <col min="22" max="22" width="3.7109375" style="48" customWidth="1"/>
    <col min="23" max="23" width="9.140625" style="48"/>
    <col min="24" max="45" width="9.140625" style="49"/>
  </cols>
  <sheetData>
    <row r="1" spans="1:23" s="49" customFormat="1" x14ac:dyDescent="0.25">
      <c r="A1" s="221"/>
      <c r="B1" s="47"/>
      <c r="C1" s="47"/>
      <c r="D1" s="47"/>
      <c r="E1" s="47"/>
      <c r="F1" s="47"/>
      <c r="G1" s="47"/>
      <c r="H1" s="47"/>
      <c r="I1" s="47"/>
      <c r="J1" s="47"/>
      <c r="K1" s="47"/>
      <c r="L1" s="47"/>
      <c r="M1" s="47"/>
      <c r="N1" s="47"/>
      <c r="O1" s="47"/>
      <c r="P1" s="47"/>
      <c r="Q1" s="47"/>
      <c r="R1" s="47"/>
      <c r="S1" s="47"/>
      <c r="T1" s="47"/>
      <c r="U1" s="47"/>
      <c r="V1" s="221"/>
      <c r="W1" s="48"/>
    </row>
    <row r="2" spans="1:23" s="49" customFormat="1" x14ac:dyDescent="0.25">
      <c r="A2" s="221"/>
      <c r="B2" s="59"/>
      <c r="C2" s="59"/>
      <c r="D2" s="59"/>
      <c r="E2" s="59"/>
      <c r="F2" s="59"/>
      <c r="G2" s="59"/>
      <c r="H2" s="59"/>
      <c r="I2" s="59"/>
      <c r="J2" s="59"/>
      <c r="K2" s="59"/>
      <c r="L2" s="59"/>
      <c r="M2" s="59"/>
      <c r="N2" s="59"/>
      <c r="O2" s="59"/>
      <c r="P2" s="59"/>
      <c r="Q2" s="59"/>
      <c r="R2" s="59"/>
      <c r="S2" s="59"/>
      <c r="T2" s="59"/>
      <c r="U2" s="59"/>
      <c r="V2" s="221"/>
      <c r="W2" s="48"/>
    </row>
    <row r="3" spans="1:23" ht="20.25" x14ac:dyDescent="0.3">
      <c r="A3" s="221"/>
      <c r="B3" s="55"/>
      <c r="C3" s="69" t="s">
        <v>239</v>
      </c>
      <c r="D3" s="54"/>
      <c r="E3" s="55"/>
      <c r="F3" s="55"/>
      <c r="G3" s="55"/>
      <c r="H3" s="55"/>
      <c r="I3" s="55"/>
      <c r="J3" s="55"/>
      <c r="K3" s="55"/>
      <c r="L3" s="55"/>
      <c r="M3" s="55"/>
      <c r="N3" s="55"/>
      <c r="O3" s="55"/>
      <c r="P3" s="55"/>
      <c r="Q3" s="55"/>
      <c r="R3" s="55"/>
      <c r="S3" s="55"/>
      <c r="T3" s="55"/>
      <c r="U3" s="55"/>
      <c r="V3" s="221"/>
    </row>
    <row r="4" spans="1:23" ht="6.75" customHeight="1" x14ac:dyDescent="0.25">
      <c r="A4" s="221"/>
      <c r="B4" s="55"/>
      <c r="C4" s="55"/>
      <c r="D4" s="56"/>
      <c r="E4" s="55"/>
      <c r="F4" s="55"/>
      <c r="G4" s="55"/>
      <c r="H4" s="55"/>
      <c r="I4" s="55"/>
      <c r="J4" s="55"/>
      <c r="K4" s="55"/>
      <c r="L4" s="55"/>
      <c r="M4" s="55"/>
      <c r="N4" s="55"/>
      <c r="O4" s="55"/>
      <c r="P4" s="55"/>
      <c r="Q4" s="55"/>
      <c r="R4" s="55"/>
      <c r="S4" s="55"/>
      <c r="T4" s="55"/>
      <c r="U4" s="55"/>
      <c r="V4" s="221"/>
    </row>
    <row r="5" spans="1:23" ht="34.5" customHeight="1" x14ac:dyDescent="0.25">
      <c r="A5" s="221"/>
      <c r="B5" s="55"/>
      <c r="C5" s="247" t="s">
        <v>308</v>
      </c>
      <c r="D5" s="247"/>
      <c r="E5" s="247"/>
      <c r="F5" s="247"/>
      <c r="G5" s="247"/>
      <c r="H5" s="247"/>
      <c r="I5" s="247"/>
      <c r="J5" s="247"/>
      <c r="K5" s="247"/>
      <c r="L5" s="247"/>
      <c r="M5" s="247"/>
      <c r="N5" s="247"/>
      <c r="O5" s="247"/>
      <c r="P5" s="247"/>
      <c r="Q5" s="60"/>
      <c r="R5" s="60"/>
      <c r="S5" s="57"/>
      <c r="T5" s="57"/>
      <c r="U5" s="55"/>
      <c r="V5" s="221"/>
    </row>
    <row r="6" spans="1:23" ht="8.25" customHeight="1" x14ac:dyDescent="0.25">
      <c r="A6" s="221"/>
      <c r="B6" s="55"/>
      <c r="C6" s="133"/>
      <c r="D6" s="133"/>
      <c r="E6" s="133"/>
      <c r="F6" s="133"/>
      <c r="G6" s="133"/>
      <c r="H6" s="133"/>
      <c r="I6" s="133"/>
      <c r="J6" s="133"/>
      <c r="K6" s="133"/>
      <c r="L6" s="133"/>
      <c r="M6" s="133"/>
      <c r="N6" s="133"/>
      <c r="O6" s="133"/>
      <c r="P6" s="60"/>
      <c r="Q6" s="60"/>
      <c r="R6" s="60"/>
      <c r="S6" s="57"/>
      <c r="T6" s="57"/>
      <c r="U6" s="55"/>
      <c r="V6" s="221"/>
    </row>
    <row r="7" spans="1:23" ht="6" customHeight="1" x14ac:dyDescent="0.25">
      <c r="A7" s="221"/>
      <c r="B7" s="55"/>
      <c r="D7" s="61"/>
      <c r="E7" s="61"/>
      <c r="F7" s="61"/>
      <c r="G7" s="61"/>
      <c r="H7" s="61"/>
      <c r="I7" s="61"/>
      <c r="J7" s="61"/>
      <c r="K7" s="61"/>
      <c r="L7" s="61"/>
      <c r="M7" s="61"/>
      <c r="N7" s="61"/>
      <c r="O7" s="61"/>
      <c r="P7" s="61"/>
      <c r="Q7" s="62"/>
      <c r="R7" s="62"/>
      <c r="S7" s="52"/>
      <c r="T7" s="52"/>
      <c r="U7" s="55"/>
      <c r="V7" s="221"/>
    </row>
    <row r="8" spans="1:23" x14ac:dyDescent="0.25">
      <c r="A8" s="221"/>
      <c r="B8" s="55"/>
      <c r="C8" s="55"/>
      <c r="D8" s="55"/>
      <c r="E8" s="55"/>
      <c r="F8" s="55"/>
      <c r="G8" s="55"/>
      <c r="H8" s="55"/>
      <c r="I8" s="55"/>
      <c r="J8" s="55"/>
      <c r="K8" s="55"/>
      <c r="L8" s="55"/>
      <c r="M8" s="55"/>
      <c r="N8" s="55"/>
      <c r="O8" s="55"/>
      <c r="P8" s="55"/>
      <c r="Q8" s="55"/>
      <c r="R8" s="55"/>
      <c r="S8" s="55"/>
      <c r="T8" s="55"/>
      <c r="U8" s="55"/>
      <c r="V8" s="221"/>
    </row>
    <row r="9" spans="1:23" ht="14.25" customHeight="1" x14ac:dyDescent="0.25">
      <c r="A9" s="221"/>
      <c r="B9" s="55"/>
      <c r="C9" s="63"/>
      <c r="D9" s="65"/>
      <c r="E9" s="63"/>
      <c r="F9" s="63"/>
      <c r="G9" s="63"/>
      <c r="H9" s="63"/>
      <c r="I9" s="63"/>
      <c r="J9" s="55"/>
      <c r="K9" s="110"/>
      <c r="L9" s="226" t="str">
        <f>"Fuel Switch the "&amp;E24 &amp; " with one of the following technology options:"</f>
        <v>Fuel Switch the  with one of the following technology options:</v>
      </c>
      <c r="M9" s="226"/>
      <c r="N9" s="226"/>
      <c r="O9" s="226"/>
      <c r="P9" s="226"/>
      <c r="Q9" s="226"/>
      <c r="R9" s="226"/>
      <c r="S9" s="226"/>
      <c r="T9" s="116"/>
      <c r="U9" s="55"/>
      <c r="V9" s="221"/>
    </row>
    <row r="10" spans="1:23" ht="18" customHeight="1" x14ac:dyDescent="0.25">
      <c r="A10" s="221"/>
      <c r="B10" s="55"/>
      <c r="C10" s="63"/>
      <c r="D10" s="239" t="s">
        <v>309</v>
      </c>
      <c r="E10" s="239"/>
      <c r="F10" s="239"/>
      <c r="G10" s="239"/>
      <c r="H10" s="239"/>
      <c r="I10" s="63"/>
      <c r="J10" s="55"/>
      <c r="K10" s="110"/>
      <c r="L10" s="226"/>
      <c r="M10" s="226"/>
      <c r="N10" s="226"/>
      <c r="O10" s="226"/>
      <c r="P10" s="226"/>
      <c r="Q10" s="226"/>
      <c r="R10" s="226"/>
      <c r="S10" s="226"/>
      <c r="T10" s="116"/>
      <c r="U10" s="55"/>
      <c r="V10" s="221"/>
    </row>
    <row r="11" spans="1:23" ht="18.95" customHeight="1" x14ac:dyDescent="0.25">
      <c r="A11" s="221"/>
      <c r="B11" s="55"/>
      <c r="C11" s="63"/>
      <c r="D11" s="239"/>
      <c r="E11" s="239"/>
      <c r="F11" s="239"/>
      <c r="G11" s="239"/>
      <c r="H11" s="239"/>
      <c r="I11" s="63"/>
      <c r="J11" s="55"/>
      <c r="K11" s="110"/>
      <c r="L11" s="225" t="s">
        <v>278</v>
      </c>
      <c r="M11" s="225"/>
      <c r="N11" s="225"/>
      <c r="O11" s="225"/>
      <c r="P11" s="225"/>
      <c r="Q11" s="225"/>
      <c r="R11" s="225"/>
      <c r="S11" s="225"/>
      <c r="T11" s="111"/>
      <c r="U11" s="70"/>
      <c r="V11" s="221"/>
    </row>
    <row r="12" spans="1:23" ht="15" customHeight="1" x14ac:dyDescent="0.25">
      <c r="A12" s="221"/>
      <c r="B12" s="55"/>
      <c r="C12" s="63"/>
      <c r="D12" s="239"/>
      <c r="E12" s="239"/>
      <c r="F12" s="239"/>
      <c r="G12" s="239"/>
      <c r="H12" s="239"/>
      <c r="I12" s="63"/>
      <c r="J12" s="55"/>
      <c r="K12" s="110"/>
      <c r="L12" s="225"/>
      <c r="M12" s="225"/>
      <c r="N12" s="225"/>
      <c r="O12" s="225"/>
      <c r="P12" s="225"/>
      <c r="Q12" s="225"/>
      <c r="R12" s="225"/>
      <c r="S12" s="225"/>
      <c r="T12" s="111"/>
      <c r="U12" s="55"/>
      <c r="V12" s="221"/>
    </row>
    <row r="13" spans="1:23" x14ac:dyDescent="0.25">
      <c r="A13" s="221"/>
      <c r="B13" s="55"/>
      <c r="C13" s="63"/>
      <c r="D13" s="239"/>
      <c r="E13" s="239"/>
      <c r="F13" s="239"/>
      <c r="G13" s="239"/>
      <c r="H13" s="239"/>
      <c r="I13" s="63"/>
      <c r="J13" s="55"/>
      <c r="K13" s="110"/>
      <c r="L13" s="110"/>
      <c r="M13" s="110"/>
      <c r="N13" s="110"/>
      <c r="O13" s="110"/>
      <c r="P13" s="110"/>
      <c r="Q13" s="110"/>
      <c r="R13" s="110"/>
      <c r="S13" s="110"/>
      <c r="T13" s="110"/>
      <c r="U13" s="55"/>
      <c r="V13" s="221"/>
    </row>
    <row r="14" spans="1:23" ht="3.75" customHeight="1" x14ac:dyDescent="0.25">
      <c r="A14" s="221"/>
      <c r="B14" s="55"/>
      <c r="C14" s="63"/>
      <c r="D14" s="63"/>
      <c r="E14" s="63"/>
      <c r="F14" s="63"/>
      <c r="G14" s="63"/>
      <c r="H14" s="63"/>
      <c r="I14" s="63"/>
      <c r="J14" s="55"/>
      <c r="K14" s="110"/>
      <c r="L14" s="229" t="s">
        <v>5</v>
      </c>
      <c r="M14" s="227" t="str">
        <f>'Tool Calc Sheet'!D56</f>
        <v>No match</v>
      </c>
      <c r="N14" s="113"/>
      <c r="O14" s="233" t="s">
        <v>213</v>
      </c>
      <c r="P14" s="234" t="str">
        <f>'Tool Calc Sheet'!D78</f>
        <v>No match</v>
      </c>
      <c r="Q14" s="113"/>
      <c r="R14" s="233" t="s">
        <v>214</v>
      </c>
      <c r="S14" s="234" t="str">
        <f>'Tool Calc Sheet'!D100</f>
        <v>No match</v>
      </c>
      <c r="T14" s="237"/>
      <c r="U14" s="55"/>
      <c r="V14" s="221"/>
    </row>
    <row r="15" spans="1:23" ht="32.25" customHeight="1" x14ac:dyDescent="0.25">
      <c r="A15" s="221"/>
      <c r="B15" s="55"/>
      <c r="C15" s="63"/>
      <c r="D15" s="107" t="s">
        <v>228</v>
      </c>
      <c r="E15" s="66"/>
      <c r="F15" s="66"/>
      <c r="G15" s="66"/>
      <c r="H15" s="66"/>
      <c r="I15" s="63"/>
      <c r="J15" s="55"/>
      <c r="K15" s="110"/>
      <c r="L15" s="230"/>
      <c r="M15" s="228"/>
      <c r="N15" s="112"/>
      <c r="O15" s="230"/>
      <c r="P15" s="235"/>
      <c r="Q15" s="112"/>
      <c r="R15" s="230"/>
      <c r="S15" s="235"/>
      <c r="T15" s="237"/>
      <c r="U15" s="55"/>
      <c r="V15" s="221"/>
    </row>
    <row r="16" spans="1:23" ht="15" customHeight="1" x14ac:dyDescent="0.25">
      <c r="A16" s="221"/>
      <c r="B16" s="55"/>
      <c r="C16" s="63"/>
      <c r="D16" s="68" t="s">
        <v>302</v>
      </c>
      <c r="E16" s="241"/>
      <c r="F16" s="242"/>
      <c r="G16" s="243"/>
      <c r="H16" s="66"/>
      <c r="I16" s="63"/>
      <c r="J16" s="55"/>
      <c r="K16" s="110"/>
      <c r="L16" s="230"/>
      <c r="M16" s="228"/>
      <c r="N16" s="110"/>
      <c r="O16" s="230"/>
      <c r="P16" s="235"/>
      <c r="Q16" s="110"/>
      <c r="R16" s="230"/>
      <c r="S16" s="235"/>
      <c r="T16" s="237"/>
      <c r="U16" s="55"/>
      <c r="V16" s="221"/>
    </row>
    <row r="17" spans="1:22" ht="6.75" customHeight="1" x14ac:dyDescent="0.25">
      <c r="A17" s="221"/>
      <c r="B17" s="55"/>
      <c r="C17" s="63"/>
      <c r="D17" s="68"/>
      <c r="E17" s="68"/>
      <c r="F17" s="68"/>
      <c r="G17" s="68"/>
      <c r="H17" s="68"/>
      <c r="I17" s="63"/>
      <c r="J17" s="55"/>
      <c r="K17" s="110"/>
      <c r="L17" s="244"/>
      <c r="M17" s="245"/>
      <c r="N17" s="110"/>
      <c r="O17" s="231" t="str">
        <f>IFERROR(VLOOKUP(E24&amp;P14,'Heating System Database'!A4:J10,VLOOKUP(E16,'Drop Down Database'!$B$3:$C$12,2,FALSE)+4,FALSE),"")</f>
        <v/>
      </c>
      <c r="P17" s="232"/>
      <c r="Q17" s="110"/>
      <c r="R17" s="231" t="str">
        <f>IFERROR(VLOOKUP(E24&amp;S14,'Heating System Database'!A4:J10,VLOOKUP(E16,'Drop Down Database'!$B$3:$C$12,2,FALSE)+4,FALSE),"")</f>
        <v/>
      </c>
      <c r="S17" s="232"/>
      <c r="T17" s="251"/>
      <c r="U17" s="55"/>
      <c r="V17" s="221"/>
    </row>
    <row r="18" spans="1:22" ht="15.75" customHeight="1" x14ac:dyDescent="0.25">
      <c r="A18" s="221"/>
      <c r="B18" s="55"/>
      <c r="C18" s="63"/>
      <c r="D18" s="213" t="s">
        <v>274</v>
      </c>
      <c r="E18" s="212" t="str">
        <f>IFERROR('Tool Calc Sheet'!D6,"")</f>
        <v/>
      </c>
      <c r="F18" s="212"/>
      <c r="G18" s="212"/>
      <c r="H18" s="63"/>
      <c r="I18" s="63"/>
      <c r="J18" s="55"/>
      <c r="K18" s="110"/>
      <c r="L18" s="244"/>
      <c r="M18" s="245"/>
      <c r="N18" s="110"/>
      <c r="O18" s="231"/>
      <c r="P18" s="232"/>
      <c r="Q18" s="110"/>
      <c r="R18" s="231" t="str">
        <f>IFERROR(VLOOKUP(E24&amp;S14,'Heating System Database'!A4:J10,VLOOKUP(E16,'Drop Down Database'!$B$3:$C$12,2,FALSE)+4,FALSE),"")</f>
        <v/>
      </c>
      <c r="S18" s="232"/>
      <c r="T18" s="251"/>
      <c r="U18" s="55"/>
      <c r="V18" s="221"/>
    </row>
    <row r="19" spans="1:22" ht="15" customHeight="1" x14ac:dyDescent="0.25">
      <c r="A19" s="221"/>
      <c r="B19" s="55"/>
      <c r="C19" s="63"/>
      <c r="D19" s="213"/>
      <c r="E19" s="212"/>
      <c r="F19" s="212"/>
      <c r="G19" s="212"/>
      <c r="H19" s="66"/>
      <c r="I19" s="63"/>
      <c r="J19" s="55"/>
      <c r="K19" s="110"/>
      <c r="L19" s="244"/>
      <c r="M19" s="245"/>
      <c r="N19" s="110"/>
      <c r="O19" s="231"/>
      <c r="P19" s="232"/>
      <c r="Q19" s="110"/>
      <c r="R19" s="231"/>
      <c r="S19" s="232"/>
      <c r="T19" s="251"/>
      <c r="U19" s="55"/>
      <c r="V19" s="221"/>
    </row>
    <row r="20" spans="1:22" ht="15" customHeight="1" x14ac:dyDescent="0.25">
      <c r="A20" s="221"/>
      <c r="B20" s="55"/>
      <c r="C20" s="63"/>
      <c r="D20" s="68"/>
      <c r="E20" s="63"/>
      <c r="F20" s="63"/>
      <c r="G20" s="66"/>
      <c r="H20" s="66"/>
      <c r="I20" s="63"/>
      <c r="J20" s="55"/>
      <c r="K20" s="110"/>
      <c r="L20" s="244"/>
      <c r="M20" s="245"/>
      <c r="N20" s="110"/>
      <c r="O20" s="231"/>
      <c r="P20" s="232"/>
      <c r="Q20" s="110"/>
      <c r="R20" s="231"/>
      <c r="S20" s="232"/>
      <c r="T20" s="251"/>
      <c r="U20" s="55"/>
      <c r="V20" s="221"/>
    </row>
    <row r="21" spans="1:22" ht="15" customHeight="1" x14ac:dyDescent="0.25">
      <c r="A21" s="221"/>
      <c r="B21" s="55"/>
      <c r="C21" s="63"/>
      <c r="D21" s="68" t="s">
        <v>134</v>
      </c>
      <c r="E21" s="134"/>
      <c r="F21" s="63" t="s">
        <v>261</v>
      </c>
      <c r="G21" s="66"/>
      <c r="H21" s="66"/>
      <c r="I21" s="63"/>
      <c r="J21" s="55"/>
      <c r="K21" s="110"/>
      <c r="L21" s="244"/>
      <c r="M21" s="245"/>
      <c r="N21" s="110"/>
      <c r="O21" s="231"/>
      <c r="P21" s="232"/>
      <c r="Q21" s="110"/>
      <c r="R21" s="231"/>
      <c r="S21" s="232"/>
      <c r="T21" s="251"/>
      <c r="U21" s="55"/>
      <c r="V21" s="221"/>
    </row>
    <row r="22" spans="1:22" ht="32.25" customHeight="1" x14ac:dyDescent="0.4">
      <c r="A22" s="221"/>
      <c r="B22" s="55"/>
      <c r="C22" s="63"/>
      <c r="D22" s="66" t="s">
        <v>275</v>
      </c>
      <c r="E22" s="66"/>
      <c r="F22" s="66"/>
      <c r="G22" s="66"/>
      <c r="H22" s="66"/>
      <c r="I22" s="63"/>
      <c r="J22" s="55"/>
      <c r="K22" s="110"/>
      <c r="L22" s="244"/>
      <c r="M22" s="245"/>
      <c r="N22" s="110"/>
      <c r="O22" s="231"/>
      <c r="P22" s="232"/>
      <c r="Q22" s="110"/>
      <c r="R22" s="231"/>
      <c r="S22" s="232"/>
      <c r="T22" s="251"/>
      <c r="U22" s="55"/>
      <c r="V22" s="221"/>
    </row>
    <row r="23" spans="1:22" ht="17.25" customHeight="1" x14ac:dyDescent="0.25">
      <c r="A23" s="221"/>
      <c r="B23" s="55"/>
      <c r="C23" s="63"/>
      <c r="D23" s="66"/>
      <c r="E23" s="66"/>
      <c r="F23" s="66"/>
      <c r="G23" s="66"/>
      <c r="H23" s="66"/>
      <c r="I23" s="63"/>
      <c r="J23" s="55"/>
      <c r="K23" s="110"/>
      <c r="L23" s="244"/>
      <c r="M23" s="245"/>
      <c r="N23" s="110"/>
      <c r="O23" s="231"/>
      <c r="P23" s="232"/>
      <c r="Q23" s="110"/>
      <c r="R23" s="231"/>
      <c r="S23" s="232"/>
      <c r="T23" s="251"/>
      <c r="U23" s="55"/>
      <c r="V23" s="221"/>
    </row>
    <row r="24" spans="1:22" ht="15" customHeight="1" x14ac:dyDescent="0.25">
      <c r="A24" s="221"/>
      <c r="B24" s="55"/>
      <c r="C24" s="63"/>
      <c r="D24" s="67" t="s">
        <v>133</v>
      </c>
      <c r="E24" s="241"/>
      <c r="F24" s="242"/>
      <c r="G24" s="243"/>
      <c r="H24" s="66"/>
      <c r="I24" s="63"/>
      <c r="J24" s="55"/>
      <c r="K24" s="110"/>
      <c r="L24" s="244"/>
      <c r="M24" s="245"/>
      <c r="N24" s="110"/>
      <c r="O24" s="231"/>
      <c r="P24" s="232"/>
      <c r="Q24" s="110"/>
      <c r="R24" s="231"/>
      <c r="S24" s="232"/>
      <c r="T24" s="251"/>
      <c r="U24" s="55"/>
      <c r="V24" s="221"/>
    </row>
    <row r="25" spans="1:22" x14ac:dyDescent="0.25">
      <c r="A25" s="221"/>
      <c r="B25" s="55"/>
      <c r="C25" s="63"/>
      <c r="D25" s="66"/>
      <c r="E25" s="137" t="s">
        <v>276</v>
      </c>
      <c r="F25" s="66"/>
      <c r="G25" s="66"/>
      <c r="H25" s="66"/>
      <c r="I25" s="63"/>
      <c r="J25" s="55"/>
      <c r="K25" s="110"/>
      <c r="L25" s="244"/>
      <c r="M25" s="245"/>
      <c r="N25" s="110"/>
      <c r="O25" s="231"/>
      <c r="P25" s="232"/>
      <c r="Q25" s="110"/>
      <c r="R25" s="231"/>
      <c r="S25" s="232"/>
      <c r="T25" s="251"/>
      <c r="U25" s="55"/>
      <c r="V25" s="221"/>
    </row>
    <row r="26" spans="1:22" ht="8.25" customHeight="1" x14ac:dyDescent="0.25">
      <c r="A26" s="221"/>
      <c r="B26" s="55"/>
      <c r="C26" s="63"/>
      <c r="D26" s="66"/>
      <c r="E26" s="66"/>
      <c r="F26" s="66"/>
      <c r="G26" s="66"/>
      <c r="H26" s="66"/>
      <c r="I26" s="63"/>
      <c r="J26" s="55"/>
      <c r="K26" s="110"/>
      <c r="L26" s="244"/>
      <c r="M26" s="245"/>
      <c r="N26" s="110"/>
      <c r="O26" s="231"/>
      <c r="P26" s="232"/>
      <c r="Q26" s="110"/>
      <c r="R26" s="231"/>
      <c r="S26" s="232"/>
      <c r="T26" s="251"/>
      <c r="U26" s="55"/>
      <c r="V26" s="221"/>
    </row>
    <row r="27" spans="1:22" x14ac:dyDescent="0.25">
      <c r="A27" s="221"/>
      <c r="B27" s="55"/>
      <c r="C27" s="63"/>
      <c r="D27" s="66"/>
      <c r="E27" s="66"/>
      <c r="F27" s="66"/>
      <c r="G27" s="66"/>
      <c r="H27" s="66"/>
      <c r="I27" s="63"/>
      <c r="J27" s="55"/>
      <c r="K27" s="110"/>
      <c r="L27" s="139"/>
      <c r="M27" s="140"/>
      <c r="N27" s="110"/>
      <c r="O27" s="96"/>
      <c r="P27" s="97"/>
      <c r="Q27" s="110"/>
      <c r="R27" s="96"/>
      <c r="S27" s="97"/>
      <c r="T27" s="118"/>
      <c r="U27" s="55"/>
      <c r="V27" s="221"/>
    </row>
    <row r="28" spans="1:22" ht="6.75" customHeight="1" x14ac:dyDescent="0.25">
      <c r="A28" s="221"/>
      <c r="B28" s="55"/>
      <c r="C28" s="63"/>
      <c r="D28" s="66"/>
      <c r="E28" s="66"/>
      <c r="F28" s="66"/>
      <c r="G28" s="66"/>
      <c r="H28" s="66"/>
      <c r="I28" s="63"/>
      <c r="J28" s="55"/>
      <c r="K28" s="110"/>
      <c r="L28" s="215" t="s">
        <v>187</v>
      </c>
      <c r="M28" s="97"/>
      <c r="N28" s="110"/>
      <c r="O28" s="215" t="s">
        <v>187</v>
      </c>
      <c r="P28" s="105"/>
      <c r="Q28" s="110"/>
      <c r="R28" s="215" t="s">
        <v>187</v>
      </c>
      <c r="S28" s="105"/>
      <c r="T28" s="119"/>
      <c r="U28" s="55"/>
      <c r="V28" s="221"/>
    </row>
    <row r="29" spans="1:22" ht="26.25" x14ac:dyDescent="0.4">
      <c r="A29" s="221"/>
      <c r="B29" s="55"/>
      <c r="C29" s="63"/>
      <c r="D29" s="66" t="s">
        <v>132</v>
      </c>
      <c r="E29" s="63"/>
      <c r="F29" s="63"/>
      <c r="G29" s="63"/>
      <c r="H29" s="63"/>
      <c r="I29" s="63"/>
      <c r="J29" s="55"/>
      <c r="K29" s="110"/>
      <c r="L29" s="216"/>
      <c r="M29" s="142" t="str">
        <f>IFERROR('Tool Calc Sheet'!$H$56,"")</f>
        <v/>
      </c>
      <c r="N29" s="110"/>
      <c r="O29" s="216"/>
      <c r="P29" s="142" t="str">
        <f>IFERROR('Tool Calc Sheet'!H78,"")</f>
        <v/>
      </c>
      <c r="Q29" s="110"/>
      <c r="R29" s="216"/>
      <c r="S29" s="142" t="str">
        <f>IFERROR('Tool Calc Sheet'!H100,"")</f>
        <v/>
      </c>
      <c r="T29" s="114"/>
      <c r="U29" s="55"/>
      <c r="V29" s="221"/>
    </row>
    <row r="30" spans="1:22" ht="20.25" customHeight="1" x14ac:dyDescent="0.25">
      <c r="A30" s="221"/>
      <c r="B30" s="55"/>
      <c r="C30" s="63"/>
      <c r="D30" s="214" t="s">
        <v>277</v>
      </c>
      <c r="E30" s="214"/>
      <c r="F30" s="214"/>
      <c r="G30" s="214"/>
      <c r="H30" s="214"/>
      <c r="I30" s="63"/>
      <c r="J30" s="55"/>
      <c r="K30" s="110"/>
      <c r="L30" s="217"/>
      <c r="M30" s="141" t="str">
        <f>IFERROR('Tool Calc Sheet'!$I$56,"")</f>
        <v/>
      </c>
      <c r="N30" s="110"/>
      <c r="O30" s="220"/>
      <c r="P30" s="100" t="str">
        <f>IFERROR('Tool Calc Sheet'!I78,"")</f>
        <v/>
      </c>
      <c r="Q30" s="110"/>
      <c r="R30" s="220"/>
      <c r="S30" s="100" t="str">
        <f>IFERROR('Tool Calc Sheet'!I100,"")</f>
        <v/>
      </c>
      <c r="T30" s="119"/>
      <c r="U30" s="55"/>
      <c r="V30" s="221"/>
    </row>
    <row r="31" spans="1:22" ht="6.75" customHeight="1" x14ac:dyDescent="0.25">
      <c r="A31" s="221"/>
      <c r="B31" s="55"/>
      <c r="C31" s="63"/>
      <c r="D31" s="214"/>
      <c r="E31" s="214"/>
      <c r="F31" s="214"/>
      <c r="G31" s="214"/>
      <c r="H31" s="214"/>
      <c r="I31" s="63"/>
      <c r="J31" s="55"/>
      <c r="K31" s="110"/>
      <c r="L31" s="218" t="s">
        <v>218</v>
      </c>
      <c r="M31" s="103"/>
      <c r="N31" s="110"/>
      <c r="O31" s="209" t="s">
        <v>218</v>
      </c>
      <c r="P31" s="101"/>
      <c r="Q31" s="110"/>
      <c r="R31" s="209" t="s">
        <v>218</v>
      </c>
      <c r="S31" s="101"/>
      <c r="T31" s="114"/>
      <c r="U31" s="55"/>
      <c r="V31" s="221"/>
    </row>
    <row r="32" spans="1:22" ht="15" customHeight="1" x14ac:dyDescent="0.25">
      <c r="A32" s="221"/>
      <c r="B32" s="55"/>
      <c r="C32" s="63"/>
      <c r="D32" s="214"/>
      <c r="E32" s="214"/>
      <c r="F32" s="214"/>
      <c r="G32" s="214"/>
      <c r="H32" s="214"/>
      <c r="I32" s="63"/>
      <c r="J32" s="55"/>
      <c r="K32" s="110"/>
      <c r="L32" s="210"/>
      <c r="M32" s="246" t="str">
        <f>IFERROR('Tool Calc Sheet'!$H$57,"")</f>
        <v/>
      </c>
      <c r="N32" s="110"/>
      <c r="O32" s="210"/>
      <c r="P32" s="246" t="str">
        <f>IFERROR('Tool Calc Sheet'!H79,"")</f>
        <v/>
      </c>
      <c r="Q32" s="110"/>
      <c r="R32" s="210"/>
      <c r="S32" s="246" t="str">
        <f>IFERROR('Tool Calc Sheet'!H101,"")</f>
        <v/>
      </c>
      <c r="T32" s="236"/>
      <c r="U32" s="55"/>
      <c r="V32" s="221"/>
    </row>
    <row r="33" spans="1:22" ht="15" customHeight="1" x14ac:dyDescent="0.25">
      <c r="A33" s="221"/>
      <c r="B33" s="55"/>
      <c r="C33" s="63"/>
      <c r="D33" s="214"/>
      <c r="E33" s="214"/>
      <c r="F33" s="214"/>
      <c r="G33" s="214"/>
      <c r="H33" s="214"/>
      <c r="I33" s="63"/>
      <c r="J33" s="55"/>
      <c r="K33" s="110"/>
      <c r="L33" s="210"/>
      <c r="M33" s="246"/>
      <c r="N33" s="110"/>
      <c r="O33" s="210"/>
      <c r="P33" s="246"/>
      <c r="Q33" s="110"/>
      <c r="R33" s="210"/>
      <c r="S33" s="246"/>
      <c r="T33" s="236"/>
      <c r="U33" s="55"/>
      <c r="V33" s="221"/>
    </row>
    <row r="34" spans="1:22" ht="8.25" customHeight="1" x14ac:dyDescent="0.25">
      <c r="A34" s="221"/>
      <c r="B34" s="55"/>
      <c r="C34" s="63"/>
      <c r="D34" s="214"/>
      <c r="E34" s="214"/>
      <c r="F34" s="214"/>
      <c r="G34" s="214"/>
      <c r="H34" s="214"/>
      <c r="I34" s="63"/>
      <c r="J34" s="55"/>
      <c r="K34" s="110"/>
      <c r="L34" s="210"/>
      <c r="M34" s="102"/>
      <c r="N34" s="110"/>
      <c r="O34" s="210"/>
      <c r="P34" s="102"/>
      <c r="Q34" s="110"/>
      <c r="R34" s="210"/>
      <c r="S34" s="102"/>
      <c r="T34" s="236"/>
      <c r="U34" s="55"/>
      <c r="V34" s="221"/>
    </row>
    <row r="35" spans="1:22" x14ac:dyDescent="0.25">
      <c r="A35" s="221"/>
      <c r="B35" s="55"/>
      <c r="C35" s="63"/>
      <c r="D35" s="143"/>
      <c r="E35" s="143"/>
      <c r="F35" s="143"/>
      <c r="G35" s="143"/>
      <c r="H35" s="143"/>
      <c r="I35" s="63"/>
      <c r="J35" s="55"/>
      <c r="K35" s="110"/>
      <c r="L35" s="210"/>
      <c r="M35" s="122" t="str">
        <f>IFERROR('Tool Calc Sheet'!$I$57,"")</f>
        <v/>
      </c>
      <c r="N35" s="110"/>
      <c r="O35" s="210"/>
      <c r="P35" s="103" t="str">
        <f>IFERROR('Tool Calc Sheet'!I79,"")</f>
        <v/>
      </c>
      <c r="Q35" s="110"/>
      <c r="R35" s="210"/>
      <c r="S35" s="103" t="str">
        <f>IFERROR('Tool Calc Sheet'!I101,"")</f>
        <v/>
      </c>
      <c r="T35" s="236"/>
      <c r="U35" s="55"/>
      <c r="V35" s="221"/>
    </row>
    <row r="36" spans="1:22" ht="9" customHeight="1" x14ac:dyDescent="0.25">
      <c r="A36" s="221"/>
      <c r="B36" s="55"/>
      <c r="C36" s="63"/>
      <c r="D36" s="63"/>
      <c r="E36" s="63"/>
      <c r="F36" s="63"/>
      <c r="G36" s="240" t="s">
        <v>212</v>
      </c>
      <c r="H36" s="240"/>
      <c r="I36" s="63"/>
      <c r="J36" s="55"/>
      <c r="K36" s="110"/>
      <c r="L36" s="219"/>
      <c r="M36" s="104"/>
      <c r="N36" s="110"/>
      <c r="O36" s="219"/>
      <c r="P36" s="104"/>
      <c r="Q36" s="110"/>
      <c r="R36" s="219"/>
      <c r="S36" s="104"/>
      <c r="T36" s="114"/>
      <c r="U36" s="55"/>
      <c r="V36" s="221"/>
    </row>
    <row r="37" spans="1:22" ht="6.75" customHeight="1" x14ac:dyDescent="0.25">
      <c r="A37" s="221"/>
      <c r="B37" s="55"/>
      <c r="C37" s="63"/>
      <c r="D37" s="63"/>
      <c r="E37" s="63"/>
      <c r="F37" s="63"/>
      <c r="G37" s="240"/>
      <c r="H37" s="240"/>
      <c r="I37" s="63"/>
      <c r="J37" s="55"/>
      <c r="K37" s="110"/>
      <c r="L37" s="209" t="s">
        <v>227</v>
      </c>
      <c r="M37" s="101"/>
      <c r="N37" s="110"/>
      <c r="O37" s="209" t="s">
        <v>227</v>
      </c>
      <c r="P37" s="101"/>
      <c r="Q37" s="110"/>
      <c r="R37" s="209" t="s">
        <v>227</v>
      </c>
      <c r="S37" s="101"/>
      <c r="T37" s="121"/>
      <c r="U37" s="55"/>
      <c r="V37" s="221"/>
    </row>
    <row r="38" spans="1:22" ht="15" customHeight="1" x14ac:dyDescent="0.25">
      <c r="A38" s="221"/>
      <c r="B38" s="55"/>
      <c r="C38" s="63"/>
      <c r="D38" s="68" t="s">
        <v>303</v>
      </c>
      <c r="E38" s="138"/>
      <c r="F38" s="63" t="s">
        <v>216</v>
      </c>
      <c r="G38" s="249" t="str">
        <f>IFERROR(TEXT(ROUND('Tool Calc Sheet'!D15,VLOOKUP('Tool Calc Sheet'!D15,'Tool Calc Sheet'!$G$30:$H$40,2,TRUE)),"#,###0")&amp;" m³/year","")</f>
        <v>0 m³/year</v>
      </c>
      <c r="H38" s="249"/>
      <c r="I38" s="63"/>
      <c r="J38" s="55"/>
      <c r="K38" s="110"/>
      <c r="L38" s="210"/>
      <c r="M38" s="248" t="str">
        <f>IFERROR('Tool Calc Sheet'!$H$58,"")</f>
        <v/>
      </c>
      <c r="N38" s="110"/>
      <c r="O38" s="210"/>
      <c r="P38" s="248" t="str">
        <f>IFERROR('Tool Calc Sheet'!H80,"")</f>
        <v/>
      </c>
      <c r="Q38" s="110"/>
      <c r="R38" s="210"/>
      <c r="S38" s="248" t="str">
        <f>IFERROR('Tool Calc Sheet'!H102,"")</f>
        <v/>
      </c>
      <c r="T38" s="236"/>
      <c r="U38" s="55"/>
      <c r="V38" s="221"/>
    </row>
    <row r="39" spans="1:22" ht="10.5" customHeight="1" x14ac:dyDescent="0.25">
      <c r="A39" s="221"/>
      <c r="B39" s="55"/>
      <c r="C39" s="63"/>
      <c r="D39" s="68"/>
      <c r="E39" s="63"/>
      <c r="F39" s="63"/>
      <c r="G39" s="249"/>
      <c r="H39" s="249"/>
      <c r="I39" s="63"/>
      <c r="J39" s="55"/>
      <c r="K39" s="110"/>
      <c r="L39" s="210"/>
      <c r="M39" s="248"/>
      <c r="N39" s="110"/>
      <c r="O39" s="210"/>
      <c r="P39" s="248"/>
      <c r="Q39" s="110"/>
      <c r="R39" s="210"/>
      <c r="S39" s="248"/>
      <c r="T39" s="236"/>
      <c r="U39" s="55"/>
      <c r="V39" s="221"/>
    </row>
    <row r="40" spans="1:22" ht="15" customHeight="1" x14ac:dyDescent="0.25">
      <c r="A40" s="221"/>
      <c r="B40" s="55"/>
      <c r="C40" s="63"/>
      <c r="D40" s="68" t="s">
        <v>304</v>
      </c>
      <c r="E40" s="135"/>
      <c r="F40" s="63" t="s">
        <v>217</v>
      </c>
      <c r="G40" s="250" t="str">
        <f>IFERROR(TEXT(ROUND('Tool Calc Sheet'!D19,VLOOKUP('Tool Calc Sheet'!D19,'Tool Calc Sheet'!$G$30:$H$40,2,TRUE)),"#,###0")&amp;" kWh/year","")</f>
        <v>0 kWh/year</v>
      </c>
      <c r="H40" s="250"/>
      <c r="I40" s="63"/>
      <c r="J40" s="55"/>
      <c r="K40" s="110"/>
      <c r="L40" s="210"/>
      <c r="M40" s="248"/>
      <c r="N40" s="110"/>
      <c r="O40" s="210"/>
      <c r="P40" s="248"/>
      <c r="Q40" s="110"/>
      <c r="R40" s="210"/>
      <c r="S40" s="248"/>
      <c r="T40" s="236"/>
      <c r="U40" s="55"/>
      <c r="V40" s="221"/>
    </row>
    <row r="41" spans="1:22" x14ac:dyDescent="0.25">
      <c r="A41" s="221"/>
      <c r="B41" s="55"/>
      <c r="C41" s="63"/>
      <c r="D41" s="63"/>
      <c r="E41" s="63"/>
      <c r="F41" s="63"/>
      <c r="G41" s="250"/>
      <c r="H41" s="250"/>
      <c r="I41" s="63"/>
      <c r="J41" s="55"/>
      <c r="K41" s="110"/>
      <c r="L41" s="210"/>
      <c r="M41" s="130" t="str">
        <f>IFERROR('Tool Calc Sheet'!$I$58,"")</f>
        <v/>
      </c>
      <c r="N41" s="110"/>
      <c r="O41" s="210"/>
      <c r="P41" s="130" t="str">
        <f>IFERROR('Tool Calc Sheet'!I80,"")</f>
        <v/>
      </c>
      <c r="Q41" s="110"/>
      <c r="R41" s="210"/>
      <c r="S41" s="130" t="str">
        <f>IFERROR('Tool Calc Sheet'!I102,"")</f>
        <v/>
      </c>
      <c r="T41" s="236"/>
      <c r="U41" s="55"/>
      <c r="V41" s="221"/>
    </row>
    <row r="42" spans="1:22" ht="4.5" customHeight="1" x14ac:dyDescent="0.25">
      <c r="A42" s="221"/>
      <c r="B42" s="55"/>
      <c r="C42" s="63"/>
      <c r="D42" s="63"/>
      <c r="E42" s="63"/>
      <c r="F42" s="63"/>
      <c r="G42" s="123"/>
      <c r="H42" s="123"/>
      <c r="I42" s="63"/>
      <c r="J42" s="55"/>
      <c r="K42" s="110"/>
      <c r="L42" s="210"/>
      <c r="M42" s="102"/>
      <c r="N42" s="110"/>
      <c r="O42" s="210"/>
      <c r="P42" s="102"/>
      <c r="Q42" s="110"/>
      <c r="R42" s="210"/>
      <c r="S42" s="102"/>
      <c r="T42" s="121"/>
      <c r="U42" s="55"/>
      <c r="V42" s="221"/>
    </row>
    <row r="43" spans="1:22" ht="9.75" customHeight="1" x14ac:dyDescent="0.25">
      <c r="A43" s="221"/>
      <c r="B43" s="55"/>
      <c r="C43" s="63"/>
      <c r="D43" s="63"/>
      <c r="E43" s="63"/>
      <c r="F43" s="63"/>
      <c r="G43" s="123"/>
      <c r="H43" s="123"/>
      <c r="I43" s="63"/>
      <c r="J43" s="55"/>
      <c r="K43" s="110"/>
      <c r="L43" s="211"/>
      <c r="M43" s="102"/>
      <c r="N43" s="110"/>
      <c r="O43" s="211"/>
      <c r="P43" s="106"/>
      <c r="Q43" s="110"/>
      <c r="R43" s="211"/>
      <c r="S43" s="106"/>
      <c r="T43" s="121"/>
      <c r="U43" s="55"/>
      <c r="V43" s="221"/>
    </row>
    <row r="44" spans="1:22" ht="6" customHeight="1" x14ac:dyDescent="0.25">
      <c r="A44" s="221"/>
      <c r="B44" s="55"/>
      <c r="C44" s="63"/>
      <c r="D44" s="63"/>
      <c r="E44" s="63"/>
      <c r="F44" s="63"/>
      <c r="G44" s="123"/>
      <c r="H44" s="123"/>
      <c r="I44" s="63"/>
      <c r="J44" s="55"/>
      <c r="K44" s="110"/>
      <c r="L44" s="254" t="s">
        <v>131</v>
      </c>
      <c r="M44" s="257" t="str">
        <f>IFERROR('Tool Calc Sheet'!H59,"")</f>
        <v/>
      </c>
      <c r="N44" s="110"/>
      <c r="O44" s="254" t="s">
        <v>131</v>
      </c>
      <c r="P44" s="260" t="str">
        <f>IFERROR('Tool Calc Sheet'!H81,"")</f>
        <v/>
      </c>
      <c r="Q44" s="110"/>
      <c r="R44" s="254" t="s">
        <v>131</v>
      </c>
      <c r="S44" s="260" t="str">
        <f>IFERROR('Tool Calc Sheet'!H103,"")</f>
        <v/>
      </c>
      <c r="T44" s="114"/>
      <c r="U44" s="55"/>
      <c r="V44" s="221"/>
    </row>
    <row r="45" spans="1:22" ht="15" customHeight="1" x14ac:dyDescent="0.25">
      <c r="A45" s="221"/>
      <c r="B45" s="55"/>
      <c r="C45" s="63"/>
      <c r="D45" s="63" t="s">
        <v>257</v>
      </c>
      <c r="E45" s="63"/>
      <c r="F45" s="135"/>
      <c r="G45" s="123"/>
      <c r="H45" s="123"/>
      <c r="I45" s="63"/>
      <c r="J45" s="55"/>
      <c r="K45" s="110"/>
      <c r="L45" s="255"/>
      <c r="M45" s="258"/>
      <c r="N45" s="110"/>
      <c r="O45" s="255"/>
      <c r="P45" s="258"/>
      <c r="Q45" s="110"/>
      <c r="R45" s="255"/>
      <c r="S45" s="258"/>
      <c r="T45" s="119"/>
      <c r="U45" s="55"/>
      <c r="V45" s="221"/>
    </row>
    <row r="46" spans="1:22" ht="4.5" customHeight="1" x14ac:dyDescent="0.25">
      <c r="A46" s="221"/>
      <c r="B46" s="55"/>
      <c r="C46" s="63"/>
      <c r="D46" s="63"/>
      <c r="E46" s="63"/>
      <c r="F46" s="63"/>
      <c r="G46" s="123"/>
      <c r="H46" s="123"/>
      <c r="I46" s="63"/>
      <c r="J46" s="55"/>
      <c r="K46" s="110"/>
      <c r="L46" s="255"/>
      <c r="M46" s="258"/>
      <c r="N46" s="110"/>
      <c r="O46" s="255"/>
      <c r="P46" s="258"/>
      <c r="Q46" s="110"/>
      <c r="R46" s="255"/>
      <c r="S46" s="258"/>
      <c r="T46" s="119"/>
      <c r="U46" s="55"/>
      <c r="V46" s="221"/>
    </row>
    <row r="47" spans="1:22" ht="6.75" customHeight="1" x14ac:dyDescent="0.25">
      <c r="A47" s="221"/>
      <c r="B47" s="55"/>
      <c r="C47" s="63"/>
      <c r="D47" s="253" t="s">
        <v>305</v>
      </c>
      <c r="E47" s="123"/>
      <c r="F47" s="240" t="s">
        <v>310</v>
      </c>
      <c r="G47" s="240" t="str">
        <f>TEXT(ROUND('Tool Calc Sheet'!D23,VLOOKUP('Tool Calc Sheet'!D23,'Tool Calc Sheet'!$G$30:$H$40,2,TRUE)),"#,###0")&amp;" ekWh/year"</f>
        <v>0 ekWh/year</v>
      </c>
      <c r="H47" s="240"/>
      <c r="I47" s="63"/>
      <c r="J47" s="55"/>
      <c r="K47" s="110"/>
      <c r="L47" s="255"/>
      <c r="M47" s="258"/>
      <c r="N47" s="110"/>
      <c r="O47" s="255"/>
      <c r="P47" s="258"/>
      <c r="Q47" s="110"/>
      <c r="R47" s="255"/>
      <c r="S47" s="258"/>
      <c r="T47" s="119"/>
      <c r="U47" s="55"/>
      <c r="V47" s="221"/>
    </row>
    <row r="48" spans="1:22" x14ac:dyDescent="0.25">
      <c r="A48" s="221"/>
      <c r="B48" s="55"/>
      <c r="C48" s="63"/>
      <c r="D48" s="253"/>
      <c r="E48" s="135"/>
      <c r="F48" s="240"/>
      <c r="G48" s="240"/>
      <c r="H48" s="240"/>
      <c r="I48" s="63"/>
      <c r="J48" s="55"/>
      <c r="K48" s="110"/>
      <c r="L48" s="255"/>
      <c r="M48" s="258"/>
      <c r="N48" s="110"/>
      <c r="O48" s="255"/>
      <c r="P48" s="258"/>
      <c r="Q48" s="110"/>
      <c r="R48" s="255"/>
      <c r="S48" s="258"/>
      <c r="T48" s="119"/>
      <c r="U48" s="55"/>
      <c r="V48" s="221"/>
    </row>
    <row r="49" spans="1:45" ht="4.5" customHeight="1" x14ac:dyDescent="0.25">
      <c r="A49" s="221"/>
      <c r="B49" s="55"/>
      <c r="C49" s="63"/>
      <c r="D49" s="64"/>
      <c r="E49" s="64"/>
      <c r="F49" s="64"/>
      <c r="G49" s="123"/>
      <c r="H49" s="123"/>
      <c r="I49" s="63"/>
      <c r="J49" s="55"/>
      <c r="K49" s="110"/>
      <c r="L49" s="255"/>
      <c r="M49" s="258"/>
      <c r="N49" s="110"/>
      <c r="O49" s="255"/>
      <c r="P49" s="258"/>
      <c r="Q49" s="110"/>
      <c r="R49" s="255"/>
      <c r="S49" s="258"/>
      <c r="T49" s="119"/>
      <c r="U49" s="55"/>
      <c r="V49" s="221"/>
    </row>
    <row r="50" spans="1:45" x14ac:dyDescent="0.25">
      <c r="A50" s="221"/>
      <c r="B50" s="55"/>
      <c r="C50" s="63"/>
      <c r="D50" s="214" t="s">
        <v>4</v>
      </c>
      <c r="E50" s="214"/>
      <c r="F50" s="214"/>
      <c r="G50" s="123"/>
      <c r="H50" s="123"/>
      <c r="I50" s="63"/>
      <c r="J50" s="55"/>
      <c r="K50" s="110"/>
      <c r="L50" s="255"/>
      <c r="M50" s="258"/>
      <c r="N50" s="110"/>
      <c r="O50" s="255"/>
      <c r="P50" s="258"/>
      <c r="Q50" s="110"/>
      <c r="R50" s="255"/>
      <c r="S50" s="258"/>
      <c r="T50" s="119"/>
      <c r="U50" s="55"/>
      <c r="V50" s="221"/>
    </row>
    <row r="51" spans="1:45" ht="15" customHeight="1" x14ac:dyDescent="0.25">
      <c r="A51" s="221"/>
      <c r="B51" s="55"/>
      <c r="C51" s="63"/>
      <c r="D51" s="214"/>
      <c r="E51" s="214"/>
      <c r="F51" s="214"/>
      <c r="G51" s="64"/>
      <c r="H51" s="64"/>
      <c r="I51" s="63"/>
      <c r="J51" s="55"/>
      <c r="K51" s="110"/>
      <c r="L51" s="255"/>
      <c r="M51" s="258"/>
      <c r="N51" s="110"/>
      <c r="O51" s="255"/>
      <c r="P51" s="258"/>
      <c r="Q51" s="110"/>
      <c r="R51" s="255"/>
      <c r="S51" s="258"/>
      <c r="T51" s="119"/>
      <c r="U51" s="55"/>
      <c r="V51" s="221"/>
    </row>
    <row r="52" spans="1:45" x14ac:dyDescent="0.25">
      <c r="A52" s="221"/>
      <c r="B52" s="55"/>
      <c r="C52" s="63"/>
      <c r="D52" s="63" t="s">
        <v>211</v>
      </c>
      <c r="E52" s="63"/>
      <c r="F52" s="63"/>
      <c r="G52" s="64"/>
      <c r="H52" s="64"/>
      <c r="I52" s="63"/>
      <c r="J52" s="55"/>
      <c r="K52" s="110"/>
      <c r="L52" s="255"/>
      <c r="M52" s="258"/>
      <c r="N52" s="110"/>
      <c r="O52" s="255"/>
      <c r="P52" s="258"/>
      <c r="Q52" s="110"/>
      <c r="R52" s="255"/>
      <c r="S52" s="258"/>
      <c r="T52" s="119"/>
      <c r="U52" s="55"/>
      <c r="V52" s="221"/>
    </row>
    <row r="53" spans="1:45" ht="5.25" customHeight="1" x14ac:dyDescent="0.25">
      <c r="A53" s="221"/>
      <c r="B53" s="55"/>
      <c r="C53" s="63"/>
      <c r="D53" s="64"/>
      <c r="E53" s="64"/>
      <c r="F53" s="64"/>
      <c r="G53" s="64"/>
      <c r="H53" s="64"/>
      <c r="I53" s="63"/>
      <c r="J53" s="55"/>
      <c r="K53" s="110"/>
      <c r="L53" s="255"/>
      <c r="M53" s="258"/>
      <c r="N53" s="110"/>
      <c r="O53" s="255"/>
      <c r="P53" s="258"/>
      <c r="Q53" s="110"/>
      <c r="R53" s="255"/>
      <c r="S53" s="258"/>
      <c r="T53" s="119"/>
      <c r="U53" s="55"/>
      <c r="V53" s="221"/>
    </row>
    <row r="54" spans="1:45" ht="15" customHeight="1" x14ac:dyDescent="0.25">
      <c r="A54" s="221"/>
      <c r="B54" s="55"/>
      <c r="C54" s="63"/>
      <c r="D54" s="64"/>
      <c r="E54" s="64"/>
      <c r="F54" s="64"/>
      <c r="G54" s="240" t="s">
        <v>215</v>
      </c>
      <c r="H54" s="240"/>
      <c r="I54" s="63"/>
      <c r="J54" s="55"/>
      <c r="K54" s="110"/>
      <c r="L54" s="256"/>
      <c r="M54" s="259"/>
      <c r="N54" s="110"/>
      <c r="O54" s="256"/>
      <c r="P54" s="259"/>
      <c r="Q54" s="110"/>
      <c r="R54" s="256"/>
      <c r="S54" s="259"/>
      <c r="T54" s="119"/>
      <c r="U54" s="55"/>
      <c r="V54" s="221"/>
    </row>
    <row r="55" spans="1:45" s="17" customFormat="1" ht="5.25" customHeight="1" x14ac:dyDescent="0.25">
      <c r="A55" s="221"/>
      <c r="B55" s="58"/>
      <c r="C55" s="63"/>
      <c r="D55" s="64"/>
      <c r="E55" s="64"/>
      <c r="F55" s="64"/>
      <c r="G55" s="64"/>
      <c r="H55" s="123"/>
      <c r="I55" s="63"/>
      <c r="J55" s="58"/>
      <c r="K55" s="112"/>
      <c r="L55" s="210" t="s">
        <v>201</v>
      </c>
      <c r="M55" s="223" t="str">
        <f>IFERROR('Tool Calc Sheet'!H60,"")</f>
        <v/>
      </c>
      <c r="N55" s="112"/>
      <c r="O55" s="210" t="s">
        <v>201</v>
      </c>
      <c r="P55" s="223" t="str">
        <f>IFERROR('Tool Calc Sheet'!H82,"")</f>
        <v/>
      </c>
      <c r="Q55" s="112"/>
      <c r="R55" s="210" t="s">
        <v>201</v>
      </c>
      <c r="S55" s="223" t="str">
        <f>IFERROR('Tool Calc Sheet'!H104,"")</f>
        <v/>
      </c>
      <c r="T55" s="236"/>
      <c r="U55" s="58"/>
      <c r="V55" s="221"/>
      <c r="W55" s="50"/>
      <c r="X55" s="51"/>
      <c r="Y55" s="51"/>
      <c r="Z55" s="51"/>
      <c r="AA55" s="51"/>
      <c r="AB55" s="51"/>
      <c r="AC55" s="51"/>
      <c r="AD55" s="51"/>
      <c r="AE55" s="51"/>
      <c r="AF55" s="51"/>
      <c r="AG55" s="51"/>
      <c r="AH55" s="51"/>
      <c r="AI55" s="51"/>
      <c r="AJ55" s="51"/>
      <c r="AK55" s="51"/>
      <c r="AL55" s="51"/>
      <c r="AM55" s="51"/>
      <c r="AN55" s="51"/>
      <c r="AO55" s="51"/>
      <c r="AP55" s="51"/>
      <c r="AQ55" s="51"/>
      <c r="AR55" s="51"/>
      <c r="AS55" s="51"/>
    </row>
    <row r="56" spans="1:45" s="17" customFormat="1" ht="14.25" customHeight="1" x14ac:dyDescent="0.25">
      <c r="A56" s="221"/>
      <c r="B56" s="58"/>
      <c r="C56" s="63"/>
      <c r="D56" s="68" t="s">
        <v>306</v>
      </c>
      <c r="E56" s="136"/>
      <c r="F56" s="63" t="s">
        <v>136</v>
      </c>
      <c r="G56" s="124" t="str">
        <f>TEXT(ROUND('Tool Calc Sheet'!D38,3),"$0.#0")&amp;" / m³"</f>
        <v>$0.15 / m³</v>
      </c>
      <c r="H56" s="64"/>
      <c r="I56" s="63"/>
      <c r="J56" s="58"/>
      <c r="K56" s="112"/>
      <c r="L56" s="210"/>
      <c r="M56" s="223"/>
      <c r="N56" s="112"/>
      <c r="O56" s="210"/>
      <c r="P56" s="223"/>
      <c r="Q56" s="112"/>
      <c r="R56" s="210"/>
      <c r="S56" s="223"/>
      <c r="T56" s="236"/>
      <c r="U56" s="58"/>
      <c r="V56" s="221"/>
      <c r="W56" s="50"/>
      <c r="X56" s="51"/>
      <c r="Y56" s="51"/>
      <c r="Z56" s="51"/>
      <c r="AA56" s="51"/>
      <c r="AB56" s="51"/>
      <c r="AC56" s="51"/>
      <c r="AD56" s="51"/>
      <c r="AE56" s="51"/>
      <c r="AF56" s="51"/>
      <c r="AG56" s="51"/>
      <c r="AH56" s="51"/>
      <c r="AI56" s="51"/>
      <c r="AJ56" s="51"/>
      <c r="AK56" s="51"/>
      <c r="AL56" s="51"/>
      <c r="AM56" s="51"/>
      <c r="AN56" s="51"/>
      <c r="AO56" s="51"/>
      <c r="AP56" s="51"/>
      <c r="AQ56" s="51"/>
      <c r="AR56" s="51"/>
      <c r="AS56" s="51"/>
    </row>
    <row r="57" spans="1:45" s="17" customFormat="1" ht="6.75" customHeight="1" x14ac:dyDescent="0.25">
      <c r="A57" s="221"/>
      <c r="B57" s="58"/>
      <c r="C57" s="63"/>
      <c r="D57" s="68"/>
      <c r="E57" s="68"/>
      <c r="F57" s="63"/>
      <c r="G57" s="124"/>
      <c r="H57" s="64"/>
      <c r="I57" s="63"/>
      <c r="J57" s="58"/>
      <c r="K57" s="112"/>
      <c r="L57" s="210"/>
      <c r="M57" s="223"/>
      <c r="N57" s="112"/>
      <c r="O57" s="210"/>
      <c r="P57" s="223"/>
      <c r="Q57" s="112"/>
      <c r="R57" s="210"/>
      <c r="S57" s="223"/>
      <c r="T57" s="236"/>
      <c r="U57" s="58"/>
      <c r="V57" s="221"/>
      <c r="W57" s="50"/>
      <c r="X57" s="51"/>
      <c r="Y57" s="51"/>
      <c r="Z57" s="51"/>
      <c r="AA57" s="51"/>
      <c r="AB57" s="51"/>
      <c r="AC57" s="51"/>
      <c r="AD57" s="51"/>
      <c r="AE57" s="51"/>
      <c r="AF57" s="51"/>
      <c r="AG57" s="51"/>
      <c r="AH57" s="51"/>
      <c r="AI57" s="51"/>
      <c r="AJ57" s="51"/>
      <c r="AK57" s="51"/>
      <c r="AL57" s="51"/>
      <c r="AM57" s="51"/>
      <c r="AN57" s="51"/>
      <c r="AO57" s="51"/>
      <c r="AP57" s="51"/>
      <c r="AQ57" s="51"/>
      <c r="AR57" s="51"/>
      <c r="AS57" s="51"/>
    </row>
    <row r="58" spans="1:45" s="17" customFormat="1" x14ac:dyDescent="0.25">
      <c r="A58" s="221"/>
      <c r="B58" s="58"/>
      <c r="C58" s="63"/>
      <c r="D58" s="68" t="s">
        <v>307</v>
      </c>
      <c r="E58" s="136"/>
      <c r="F58" s="63" t="s">
        <v>137</v>
      </c>
      <c r="G58" s="124" t="str">
        <f>TEXT(ROUND('Tool Calc Sheet'!D43,3),"$0.#0")&amp;" / kWh"</f>
        <v>$0.13 / kWh</v>
      </c>
      <c r="H58" s="64"/>
      <c r="I58" s="63"/>
      <c r="J58" s="58"/>
      <c r="K58" s="112"/>
      <c r="L58" s="210"/>
      <c r="M58" s="223"/>
      <c r="N58" s="112"/>
      <c r="O58" s="210"/>
      <c r="P58" s="223"/>
      <c r="Q58" s="112"/>
      <c r="R58" s="210"/>
      <c r="S58" s="223"/>
      <c r="T58" s="236"/>
      <c r="U58" s="58"/>
      <c r="V58" s="221"/>
      <c r="W58" s="50"/>
      <c r="X58" s="51"/>
      <c r="Y58" s="51"/>
      <c r="Z58" s="51"/>
      <c r="AA58" s="51"/>
      <c r="AB58" s="51"/>
      <c r="AC58" s="51"/>
      <c r="AD58" s="51"/>
      <c r="AE58" s="51"/>
      <c r="AF58" s="51"/>
      <c r="AG58" s="51"/>
      <c r="AH58" s="51"/>
      <c r="AI58" s="51"/>
      <c r="AJ58" s="51"/>
      <c r="AK58" s="51"/>
      <c r="AL58" s="51"/>
      <c r="AM58" s="51"/>
      <c r="AN58" s="51"/>
      <c r="AO58" s="51"/>
      <c r="AP58" s="51"/>
      <c r="AQ58" s="51"/>
      <c r="AR58" s="51"/>
      <c r="AS58" s="51"/>
    </row>
    <row r="59" spans="1:45" s="17" customFormat="1" ht="6.75" customHeight="1" x14ac:dyDescent="0.25">
      <c r="A59" s="221"/>
      <c r="B59" s="58"/>
      <c r="C59" s="63"/>
      <c r="D59" s="68"/>
      <c r="E59" s="68"/>
      <c r="F59" s="63"/>
      <c r="G59" s="124"/>
      <c r="H59" s="64"/>
      <c r="I59" s="63"/>
      <c r="J59" s="58"/>
      <c r="K59" s="112"/>
      <c r="L59" s="210"/>
      <c r="M59" s="223"/>
      <c r="N59" s="112"/>
      <c r="O59" s="210"/>
      <c r="P59" s="223"/>
      <c r="Q59" s="112"/>
      <c r="R59" s="210"/>
      <c r="S59" s="223"/>
      <c r="T59" s="236"/>
      <c r="U59" s="58"/>
      <c r="V59" s="221"/>
      <c r="W59" s="50"/>
      <c r="X59" s="51"/>
      <c r="Y59" s="51"/>
      <c r="Z59" s="51"/>
      <c r="AA59" s="51"/>
      <c r="AB59" s="51"/>
      <c r="AC59" s="51"/>
      <c r="AD59" s="51"/>
      <c r="AE59" s="51"/>
      <c r="AF59" s="51"/>
      <c r="AG59" s="51"/>
      <c r="AH59" s="51"/>
      <c r="AI59" s="51"/>
      <c r="AJ59" s="51"/>
      <c r="AK59" s="51"/>
      <c r="AL59" s="51"/>
      <c r="AM59" s="51"/>
      <c r="AN59" s="51"/>
      <c r="AO59" s="51"/>
      <c r="AP59" s="51"/>
      <c r="AQ59" s="51"/>
      <c r="AR59" s="51"/>
      <c r="AS59" s="51"/>
    </row>
    <row r="60" spans="1:45" s="17" customFormat="1" ht="15.75" customHeight="1" x14ac:dyDescent="0.25">
      <c r="A60" s="221"/>
      <c r="B60" s="58"/>
      <c r="C60" s="63"/>
      <c r="D60" s="68" t="s">
        <v>305</v>
      </c>
      <c r="E60" s="136"/>
      <c r="F60" s="63" t="s">
        <v>311</v>
      </c>
      <c r="G60" s="132" t="str">
        <f>TEXT(ROUND('Tool Calc Sheet'!D46,3),"$0.#0")&amp;" / ekWh   ⓘ"</f>
        <v>$0.11 / ekWh   ⓘ</v>
      </c>
      <c r="H60" s="64"/>
      <c r="I60" s="63"/>
      <c r="J60" s="58"/>
      <c r="K60" s="112"/>
      <c r="L60" s="210"/>
      <c r="M60" s="223"/>
      <c r="N60" s="112"/>
      <c r="O60" s="210"/>
      <c r="P60" s="223"/>
      <c r="Q60" s="112"/>
      <c r="R60" s="210"/>
      <c r="S60" s="223"/>
      <c r="T60" s="236"/>
      <c r="U60" s="58"/>
      <c r="V60" s="221"/>
      <c r="W60" s="50"/>
      <c r="X60" s="51"/>
      <c r="Y60" s="51"/>
      <c r="Z60" s="51"/>
      <c r="AA60" s="51"/>
      <c r="AB60" s="51"/>
      <c r="AC60" s="51"/>
      <c r="AD60" s="51"/>
      <c r="AE60" s="51"/>
      <c r="AF60" s="51"/>
      <c r="AG60" s="51"/>
      <c r="AH60" s="51"/>
      <c r="AI60" s="51"/>
      <c r="AJ60" s="51"/>
      <c r="AK60" s="51"/>
      <c r="AL60" s="51"/>
      <c r="AM60" s="51"/>
      <c r="AN60" s="51"/>
      <c r="AO60" s="51"/>
      <c r="AP60" s="51"/>
      <c r="AQ60" s="51"/>
      <c r="AR60" s="51"/>
      <c r="AS60" s="51"/>
    </row>
    <row r="61" spans="1:45" s="17" customFormat="1" x14ac:dyDescent="0.25">
      <c r="A61" s="221"/>
      <c r="B61" s="58"/>
      <c r="C61" s="63"/>
      <c r="D61" s="68"/>
      <c r="E61" s="68"/>
      <c r="F61" s="68"/>
      <c r="G61" s="68"/>
      <c r="H61" s="64"/>
      <c r="I61" s="63"/>
      <c r="J61" s="58"/>
      <c r="K61" s="112"/>
      <c r="L61" s="222"/>
      <c r="M61" s="224"/>
      <c r="N61" s="112"/>
      <c r="O61" s="222"/>
      <c r="P61" s="224"/>
      <c r="Q61" s="112"/>
      <c r="R61" s="238"/>
      <c r="S61" s="252"/>
      <c r="T61" s="236"/>
      <c r="U61" s="58"/>
      <c r="V61" s="221"/>
      <c r="W61" s="50"/>
      <c r="X61" s="51"/>
      <c r="Y61" s="51"/>
      <c r="Z61" s="51"/>
      <c r="AA61" s="51"/>
      <c r="AB61" s="51"/>
      <c r="AC61" s="51"/>
      <c r="AD61" s="51"/>
      <c r="AE61" s="51"/>
      <c r="AF61" s="51"/>
      <c r="AG61" s="51"/>
      <c r="AH61" s="51"/>
      <c r="AI61" s="51"/>
      <c r="AJ61" s="51"/>
      <c r="AK61" s="51"/>
      <c r="AL61" s="51"/>
      <c r="AM61" s="51"/>
      <c r="AN61" s="51"/>
      <c r="AO61" s="51"/>
      <c r="AP61" s="51"/>
      <c r="AQ61" s="51"/>
      <c r="AR61" s="51"/>
      <c r="AS61" s="51"/>
    </row>
    <row r="62" spans="1:45" s="17" customFormat="1" ht="15.75" x14ac:dyDescent="0.25">
      <c r="A62" s="221"/>
      <c r="B62" s="58"/>
      <c r="C62" s="63"/>
      <c r="D62" s="68"/>
      <c r="E62" s="68"/>
      <c r="F62" s="68"/>
      <c r="G62" s="68"/>
      <c r="H62" s="63"/>
      <c r="I62" s="63"/>
      <c r="J62" s="58"/>
      <c r="K62" s="112"/>
      <c r="L62" s="114"/>
      <c r="M62" s="115"/>
      <c r="N62" s="112"/>
      <c r="O62" s="114"/>
      <c r="P62" s="115"/>
      <c r="Q62" s="112"/>
      <c r="R62" s="120"/>
      <c r="S62" s="117"/>
      <c r="T62" s="120"/>
      <c r="U62" s="58"/>
      <c r="V62" s="221"/>
      <c r="W62" s="50"/>
      <c r="X62" s="51"/>
      <c r="Y62" s="51"/>
      <c r="Z62" s="51"/>
      <c r="AA62" s="51"/>
      <c r="AB62" s="51"/>
      <c r="AC62" s="51"/>
      <c r="AD62" s="51"/>
      <c r="AE62" s="51"/>
      <c r="AF62" s="51"/>
      <c r="AG62" s="51"/>
      <c r="AH62" s="51"/>
      <c r="AI62" s="51"/>
      <c r="AJ62" s="51"/>
      <c r="AK62" s="51"/>
      <c r="AL62" s="51"/>
      <c r="AM62" s="51"/>
      <c r="AN62" s="51"/>
      <c r="AO62" s="51"/>
      <c r="AP62" s="51"/>
      <c r="AQ62" s="51"/>
      <c r="AR62" s="51"/>
      <c r="AS62" s="51"/>
    </row>
    <row r="63" spans="1:45" ht="14.25" customHeight="1" x14ac:dyDescent="0.25">
      <c r="A63" s="221"/>
      <c r="B63" s="55"/>
      <c r="C63" s="55"/>
      <c r="D63" s="55"/>
      <c r="E63" s="55"/>
      <c r="F63" s="55"/>
      <c r="G63" s="55"/>
      <c r="H63" s="55"/>
      <c r="I63" s="55"/>
      <c r="J63" s="55"/>
      <c r="K63" s="55"/>
      <c r="L63" s="55"/>
      <c r="M63" s="55"/>
      <c r="N63" s="55"/>
      <c r="O63" s="55"/>
      <c r="P63" s="55"/>
      <c r="Q63" s="55"/>
      <c r="R63" s="55"/>
      <c r="S63" s="55"/>
      <c r="T63" s="55"/>
      <c r="U63" s="55"/>
      <c r="V63" s="221"/>
    </row>
    <row r="64" spans="1:45" x14ac:dyDescent="0.25">
      <c r="A64" s="221"/>
      <c r="B64" s="47"/>
      <c r="J64" s="47"/>
      <c r="K64" s="47"/>
      <c r="L64" s="47"/>
      <c r="M64" s="47"/>
      <c r="N64" s="47"/>
      <c r="O64" s="47"/>
      <c r="P64" s="47"/>
      <c r="Q64" s="47"/>
      <c r="R64" s="47"/>
      <c r="S64" s="47"/>
      <c r="T64" s="47"/>
      <c r="V64" s="221"/>
    </row>
    <row r="69" spans="3:11" x14ac:dyDescent="0.25">
      <c r="C69" s="47"/>
      <c r="D69" s="47"/>
      <c r="E69" s="47"/>
      <c r="F69" s="47"/>
      <c r="G69" s="47"/>
      <c r="H69" s="47"/>
      <c r="I69" s="47"/>
    </row>
    <row r="71" spans="3:11" x14ac:dyDescent="0.25">
      <c r="J71" s="53"/>
      <c r="K71" s="53"/>
    </row>
  </sheetData>
  <sheetProtection sheet="1" objects="1" scenarios="1" selectLockedCells="1"/>
  <mergeCells count="60">
    <mergeCell ref="S55:S61"/>
    <mergeCell ref="D47:D48"/>
    <mergeCell ref="F47:F48"/>
    <mergeCell ref="G47:H48"/>
    <mergeCell ref="L44:L54"/>
    <mergeCell ref="O44:O54"/>
    <mergeCell ref="M44:M54"/>
    <mergeCell ref="S44:S54"/>
    <mergeCell ref="R44:R54"/>
    <mergeCell ref="P44:P54"/>
    <mergeCell ref="T17:T26"/>
    <mergeCell ref="T32:T35"/>
    <mergeCell ref="T38:T41"/>
    <mergeCell ref="P32:P33"/>
    <mergeCell ref="S32:S33"/>
    <mergeCell ref="S38:S40"/>
    <mergeCell ref="R28:R30"/>
    <mergeCell ref="R31:R36"/>
    <mergeCell ref="R37:R43"/>
    <mergeCell ref="A1:A64"/>
    <mergeCell ref="R55:R61"/>
    <mergeCell ref="P55:P61"/>
    <mergeCell ref="D10:H13"/>
    <mergeCell ref="G36:H37"/>
    <mergeCell ref="E16:G16"/>
    <mergeCell ref="E24:G24"/>
    <mergeCell ref="D50:F51"/>
    <mergeCell ref="G54:H54"/>
    <mergeCell ref="L17:M26"/>
    <mergeCell ref="M32:M33"/>
    <mergeCell ref="C5:P5"/>
    <mergeCell ref="M38:M40"/>
    <mergeCell ref="P38:P40"/>
    <mergeCell ref="G38:H39"/>
    <mergeCell ref="G40:H41"/>
    <mergeCell ref="V1:V64"/>
    <mergeCell ref="L55:L61"/>
    <mergeCell ref="O55:O61"/>
    <mergeCell ref="M55:M61"/>
    <mergeCell ref="L11:S12"/>
    <mergeCell ref="L9:S10"/>
    <mergeCell ref="M14:M16"/>
    <mergeCell ref="L14:L16"/>
    <mergeCell ref="O17:P26"/>
    <mergeCell ref="O14:O16"/>
    <mergeCell ref="P14:P16"/>
    <mergeCell ref="R14:R16"/>
    <mergeCell ref="S14:S16"/>
    <mergeCell ref="T55:T61"/>
    <mergeCell ref="T14:T16"/>
    <mergeCell ref="R17:S26"/>
    <mergeCell ref="L37:L43"/>
    <mergeCell ref="O37:O43"/>
    <mergeCell ref="E18:G19"/>
    <mergeCell ref="D18:D19"/>
    <mergeCell ref="D30:H34"/>
    <mergeCell ref="L28:L30"/>
    <mergeCell ref="L31:L36"/>
    <mergeCell ref="O28:O30"/>
    <mergeCell ref="O31:O36"/>
  </mergeCells>
  <conditionalFormatting sqref="E48">
    <cfRule type="expression" dxfId="8" priority="1">
      <formula>ISBLANK($F$45)</formula>
    </cfRule>
    <cfRule type="expression" dxfId="7" priority="3">
      <formula>$F$45="No"</formula>
    </cfRule>
  </conditionalFormatting>
  <conditionalFormatting sqref="L14:M61">
    <cfRule type="expression" dxfId="6" priority="2">
      <formula>$M$14="No match"</formula>
    </cfRule>
  </conditionalFormatting>
  <conditionalFormatting sqref="O14:P61">
    <cfRule type="expression" dxfId="5" priority="8">
      <formula>$P$14="No match"</formula>
    </cfRule>
  </conditionalFormatting>
  <conditionalFormatting sqref="R14:S61">
    <cfRule type="expression" dxfId="4" priority="4">
      <formula>$S$14="No match"</formula>
    </cfRule>
  </conditionalFormatting>
  <dataValidations count="4">
    <dataValidation type="whole" operator="greaterThan" allowBlank="1" showInputMessage="1" showErrorMessage="1" sqref="E38 E40" xr:uid="{73611717-1687-4F52-B1E4-6FCE51A90A6F}">
      <formula1>0</formula1>
    </dataValidation>
    <dataValidation type="decimal" operator="greaterThan" allowBlank="1" showInputMessage="1" showErrorMessage="1" sqref="E60 E56 E58" xr:uid="{9DE22B58-30B3-4D00-9C95-94D971586B29}">
      <formula1>0</formula1>
    </dataValidation>
    <dataValidation type="list" operator="greaterThan" allowBlank="1" showInputMessage="1" showErrorMessage="1" sqref="F45" xr:uid="{BD598E2D-8AC4-4262-B1C7-B9A0C76D4C59}">
      <formula1>"Yes, No"</formula1>
    </dataValidation>
    <dataValidation type="whole" allowBlank="1" showInputMessage="1" showErrorMessage="1" sqref="E21" xr:uid="{C1C636B9-E655-4CC7-BA8B-294369756374}">
      <formula1>0</formula1>
      <formula2>1000000000</formula2>
    </dataValidation>
  </dataValidations>
  <pageMargins left="0.7" right="0.7" top="0.75" bottom="0.75" header="0.3" footer="0.3"/>
  <pageSetup paperSize="9" scale="32"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7052784-70E8-4A18-9280-DAC574581052}">
          <x14:formula1>
            <xm:f>'Drop Down Database'!$B$3:$B$12</xm:f>
          </x14:formula1>
          <xm:sqref>E16:G16</xm:sqref>
        </x14:dataValidation>
        <x14:dataValidation type="list" allowBlank="1" showInputMessage="1" showErrorMessage="1" xr:uid="{FAA33FE7-7B84-4635-A168-74BF81FD97A8}">
          <x14:formula1>
            <xm:f>'Drop Down Database'!$I$3:$I$5</xm:f>
          </x14:formula1>
          <xm:sqref>E24:G24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FC823-3FEF-42DC-90FC-90616B18A78C}">
  <sheetPr>
    <tabColor theme="2" tint="-0.249977111117893"/>
  </sheetPr>
  <dimension ref="A1"/>
  <sheetViews>
    <sheetView workbookViewId="0">
      <selection activeCell="K28" sqref="K28"/>
    </sheetView>
  </sheetViews>
  <sheetFormatPr defaultRowHeight="15" x14ac:dyDescent="0.25"/>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7D790-CCA6-433F-83D5-70387C73B820}">
  <sheetPr>
    <tabColor theme="9" tint="0.39997558519241921"/>
    <pageSetUpPr fitToPage="1"/>
  </sheetPr>
  <dimension ref="A1:I156"/>
  <sheetViews>
    <sheetView topLeftCell="A48" zoomScaleNormal="100" workbookViewId="0">
      <selection activeCell="G68" sqref="G68"/>
    </sheetView>
  </sheetViews>
  <sheetFormatPr defaultRowHeight="15" x14ac:dyDescent="0.25"/>
  <cols>
    <col min="2" max="2" width="37.42578125" style="43" bestFit="1" customWidth="1"/>
    <col min="3" max="3" width="13.140625" style="6" customWidth="1"/>
    <col min="4" max="4" width="47.28515625" customWidth="1"/>
    <col min="5" max="5" width="48.5703125" style="4" bestFit="1" customWidth="1"/>
    <col min="6" max="6" width="1.28515625" customWidth="1"/>
    <col min="7" max="7" width="38.140625" bestFit="1" customWidth="1"/>
    <col min="8" max="8" width="31.7109375" style="4" customWidth="1"/>
    <col min="9" max="9" width="16" customWidth="1"/>
  </cols>
  <sheetData>
    <row r="1" spans="2:8" x14ac:dyDescent="0.25">
      <c r="B1" s="7" t="s">
        <v>9</v>
      </c>
    </row>
    <row r="3" spans="2:8" x14ac:dyDescent="0.25">
      <c r="B3" s="3" t="s">
        <v>10</v>
      </c>
      <c r="C3" s="5" t="s">
        <v>11</v>
      </c>
      <c r="E3" s="1" t="s">
        <v>12</v>
      </c>
      <c r="H3" s="1"/>
    </row>
    <row r="4" spans="2:8" x14ac:dyDescent="0.25">
      <c r="B4" s="43" t="s">
        <v>0</v>
      </c>
      <c r="C4" s="6" t="s">
        <v>13</v>
      </c>
      <c r="D4" s="163">
        <f>'Fuel Switching Options'!E24</f>
        <v>0</v>
      </c>
      <c r="E4" s="148" t="s">
        <v>14</v>
      </c>
      <c r="H4" s="9"/>
    </row>
    <row r="5" spans="2:8" x14ac:dyDescent="0.25">
      <c r="B5" s="43" t="s">
        <v>15</v>
      </c>
      <c r="C5" s="6" t="s">
        <v>13</v>
      </c>
      <c r="D5" s="163">
        <f>'Fuel Switching Options'!E16</f>
        <v>0</v>
      </c>
      <c r="E5" s="148" t="s">
        <v>14</v>
      </c>
      <c r="H5" s="9"/>
    </row>
    <row r="6" spans="2:8" x14ac:dyDescent="0.25">
      <c r="B6" s="43" t="s">
        <v>273</v>
      </c>
      <c r="C6" s="6" t="s">
        <v>13</v>
      </c>
      <c r="D6" s="164" t="e">
        <f>VLOOKUP($D$5,'Existing Building EUI'!$B$7:$G$16,6,FALSE)</f>
        <v>#N/A</v>
      </c>
      <c r="E6" s="148" t="s">
        <v>297</v>
      </c>
      <c r="H6" s="9"/>
    </row>
    <row r="7" spans="2:8" x14ac:dyDescent="0.25">
      <c r="B7" s="43" t="s">
        <v>2</v>
      </c>
      <c r="C7" s="6" t="s">
        <v>135</v>
      </c>
      <c r="D7" s="165">
        <f>'Fuel Switching Options'!E21</f>
        <v>0</v>
      </c>
      <c r="E7" s="148" t="s">
        <v>14</v>
      </c>
      <c r="H7" s="9"/>
    </row>
    <row r="8" spans="2:8" x14ac:dyDescent="0.25">
      <c r="B8" s="43" t="s">
        <v>2</v>
      </c>
      <c r="C8" s="6" t="s">
        <v>279</v>
      </c>
      <c r="D8" s="165">
        <f>D7*0.092903</f>
        <v>0</v>
      </c>
      <c r="E8" s="148" t="s">
        <v>296</v>
      </c>
      <c r="H8" s="9"/>
    </row>
    <row r="9" spans="2:8" x14ac:dyDescent="0.25">
      <c r="B9" s="43" t="s">
        <v>16</v>
      </c>
      <c r="C9" s="6" t="s">
        <v>281</v>
      </c>
      <c r="D9" s="165">
        <f>IFERROR(VLOOKUP($D$5,'Existing Building EUI'!$B$7:$F$16,3,FALSE),)</f>
        <v>0</v>
      </c>
      <c r="E9" s="148" t="s">
        <v>297</v>
      </c>
      <c r="G9" s="76"/>
      <c r="H9" s="8"/>
    </row>
    <row r="10" spans="2:8" x14ac:dyDescent="0.25">
      <c r="B10" s="43" t="s">
        <v>17</v>
      </c>
      <c r="C10" s="6" t="s">
        <v>281</v>
      </c>
      <c r="D10" s="165">
        <f>IFERROR(VLOOKUP($D$5,'Existing Building EUI'!$B$7:$F$16,4,FALSE),)</f>
        <v>0</v>
      </c>
      <c r="E10" s="148" t="s">
        <v>297</v>
      </c>
      <c r="H10" s="8"/>
    </row>
    <row r="11" spans="2:8" x14ac:dyDescent="0.25">
      <c r="B11" s="43" t="s">
        <v>18</v>
      </c>
      <c r="C11" s="6" t="s">
        <v>281</v>
      </c>
      <c r="D11" s="165">
        <f>IFERROR(VLOOKUP($D$5,'Existing Building EUI'!$B$7:$F$16,5,FALSE),)</f>
        <v>0</v>
      </c>
      <c r="E11" s="148" t="s">
        <v>297</v>
      </c>
      <c r="H11" s="8"/>
    </row>
    <row r="12" spans="2:8" x14ac:dyDescent="0.25">
      <c r="B12"/>
      <c r="D12" s="40"/>
      <c r="E12" s="149"/>
      <c r="H12"/>
    </row>
    <row r="13" spans="2:8" x14ac:dyDescent="0.25">
      <c r="B13" s="3" t="s">
        <v>19</v>
      </c>
      <c r="D13" s="40"/>
      <c r="E13" s="149"/>
      <c r="H13"/>
    </row>
    <row r="14" spans="2:8" x14ac:dyDescent="0.25">
      <c r="B14" s="43" t="s">
        <v>20</v>
      </c>
      <c r="C14" s="6" t="s">
        <v>3</v>
      </c>
      <c r="D14" s="161">
        <f>IF(D22="Yes",IF(ISERROR(VLOOKUP(D5,'Drop Down Database'!K3:K9,1,FALSE)),0,(D9*D8)*0.08),D9*D8)</f>
        <v>0</v>
      </c>
      <c r="E14" s="148" t="s">
        <v>294</v>
      </c>
      <c r="H14" s="21"/>
    </row>
    <row r="15" spans="2:8" x14ac:dyDescent="0.25">
      <c r="B15" s="43" t="s">
        <v>20</v>
      </c>
      <c r="C15" s="6" t="s">
        <v>183</v>
      </c>
      <c r="D15" s="161">
        <f>D14/10.55</f>
        <v>0</v>
      </c>
      <c r="E15" s="148" t="s">
        <v>293</v>
      </c>
      <c r="H15" s="21"/>
    </row>
    <row r="16" spans="2:8" x14ac:dyDescent="0.25">
      <c r="B16" s="43" t="s">
        <v>21</v>
      </c>
      <c r="C16" s="6" t="s">
        <v>183</v>
      </c>
      <c r="D16" s="161">
        <f>'Fuel Switching Options'!E38</f>
        <v>0</v>
      </c>
      <c r="E16" s="148" t="s">
        <v>14</v>
      </c>
      <c r="H16" s="9"/>
    </row>
    <row r="17" spans="2:8" x14ac:dyDescent="0.25">
      <c r="B17" s="43" t="s">
        <v>21</v>
      </c>
      <c r="C17" s="6" t="s">
        <v>3</v>
      </c>
      <c r="D17" s="161">
        <f>D16*10.55</f>
        <v>0</v>
      </c>
      <c r="E17" s="148" t="s">
        <v>293</v>
      </c>
      <c r="H17" s="9"/>
    </row>
    <row r="18" spans="2:8" x14ac:dyDescent="0.25">
      <c r="B18" s="43" t="s">
        <v>22</v>
      </c>
      <c r="C18" s="6" t="s">
        <v>3</v>
      </c>
      <c r="D18" s="162">
        <f>IF(D17=0,D14,D17)</f>
        <v>0</v>
      </c>
      <c r="E18" s="148" t="s">
        <v>65</v>
      </c>
      <c r="H18" s="21"/>
    </row>
    <row r="19" spans="2:8" x14ac:dyDescent="0.25">
      <c r="B19" s="43" t="s">
        <v>23</v>
      </c>
      <c r="C19" s="6" t="s">
        <v>3</v>
      </c>
      <c r="D19" s="161">
        <f>D10*D8</f>
        <v>0</v>
      </c>
      <c r="E19" s="148" t="s">
        <v>294</v>
      </c>
      <c r="H19" s="21"/>
    </row>
    <row r="20" spans="2:8" x14ac:dyDescent="0.25">
      <c r="B20" s="43" t="s">
        <v>24</v>
      </c>
      <c r="C20" s="6" t="s">
        <v>3</v>
      </c>
      <c r="D20" s="161">
        <f>'Fuel Switching Options'!E40</f>
        <v>0</v>
      </c>
      <c r="E20" s="148" t="s">
        <v>14</v>
      </c>
      <c r="H20" s="9"/>
    </row>
    <row r="21" spans="2:8" x14ac:dyDescent="0.25">
      <c r="B21" s="43" t="s">
        <v>25</v>
      </c>
      <c r="C21" s="6" t="s">
        <v>3</v>
      </c>
      <c r="D21" s="161">
        <f>IF(D20&lt;&gt;0,D20,IF(D19&lt;&gt;0,D19,0))</f>
        <v>0</v>
      </c>
      <c r="E21" s="148" t="s">
        <v>66</v>
      </c>
      <c r="H21" s="21"/>
    </row>
    <row r="22" spans="2:8" x14ac:dyDescent="0.25">
      <c r="B22" s="43" t="s">
        <v>255</v>
      </c>
      <c r="C22" s="6" t="s">
        <v>256</v>
      </c>
      <c r="D22" s="161">
        <f>'Fuel Switching Options'!F45</f>
        <v>0</v>
      </c>
      <c r="E22" s="148" t="s">
        <v>14</v>
      </c>
      <c r="H22" s="21"/>
    </row>
    <row r="23" spans="2:8" x14ac:dyDescent="0.25">
      <c r="B23" s="43" t="s">
        <v>252</v>
      </c>
      <c r="C23" s="6" t="s">
        <v>3</v>
      </c>
      <c r="D23" s="161">
        <f>IF(D22="Yes",D8*D9*0.8,0)</f>
        <v>0</v>
      </c>
      <c r="E23" s="148" t="s">
        <v>294</v>
      </c>
      <c r="H23" s="21"/>
    </row>
    <row r="24" spans="2:8" x14ac:dyDescent="0.25">
      <c r="B24" s="43" t="s">
        <v>253</v>
      </c>
      <c r="C24" s="6" t="s">
        <v>3</v>
      </c>
      <c r="D24" s="161">
        <f>'Fuel Switching Options'!E47</f>
        <v>0</v>
      </c>
      <c r="E24" s="148" t="s">
        <v>14</v>
      </c>
      <c r="H24" s="21"/>
    </row>
    <row r="25" spans="2:8" x14ac:dyDescent="0.25">
      <c r="B25" s="43" t="s">
        <v>254</v>
      </c>
      <c r="C25" s="6" t="s">
        <v>3</v>
      </c>
      <c r="D25" s="161">
        <f>IF(D22="Yes",IF(D24&lt;&gt;0,D24,IF(D23&lt;&gt;0,D23,0)),)</f>
        <v>0</v>
      </c>
      <c r="E25" s="148" t="s">
        <v>295</v>
      </c>
      <c r="H25" s="21"/>
    </row>
    <row r="26" spans="2:8" x14ac:dyDescent="0.25">
      <c r="B26" s="43" t="s">
        <v>26</v>
      </c>
      <c r="C26" s="6" t="s">
        <v>3</v>
      </c>
      <c r="D26" s="161">
        <f>D21+D18+D25</f>
        <v>0</v>
      </c>
      <c r="E26" s="148" t="s">
        <v>27</v>
      </c>
      <c r="H26" s="21"/>
    </row>
    <row r="27" spans="2:8" x14ac:dyDescent="0.25">
      <c r="D27" s="91"/>
    </row>
    <row r="28" spans="2:8" x14ac:dyDescent="0.25">
      <c r="B28" s="43" t="s">
        <v>28</v>
      </c>
      <c r="C28" s="6" t="s">
        <v>283</v>
      </c>
      <c r="D28" s="155">
        <v>1.921</v>
      </c>
      <c r="E28" s="148" t="s">
        <v>288</v>
      </c>
      <c r="H28" s="8"/>
    </row>
    <row r="29" spans="2:8" x14ac:dyDescent="0.25">
      <c r="B29" s="43" t="s">
        <v>28</v>
      </c>
      <c r="C29" s="6" t="s">
        <v>29</v>
      </c>
      <c r="D29" s="155">
        <f>D28/10.55</f>
        <v>0.18208530805687204</v>
      </c>
      <c r="E29" s="148" t="s">
        <v>284</v>
      </c>
      <c r="H29" s="8"/>
    </row>
    <row r="30" spans="2:8" x14ac:dyDescent="0.25">
      <c r="B30" s="43" t="s">
        <v>30</v>
      </c>
      <c r="C30" s="6" t="s">
        <v>29</v>
      </c>
      <c r="D30" s="155">
        <v>3.7999999999999999E-2</v>
      </c>
      <c r="E30" s="148" t="s">
        <v>288</v>
      </c>
      <c r="G30" s="176" t="s">
        <v>208</v>
      </c>
      <c r="H30" s="177"/>
    </row>
    <row r="31" spans="2:8" x14ac:dyDescent="0.25">
      <c r="B31" s="43" t="s">
        <v>251</v>
      </c>
      <c r="C31" s="6" t="s">
        <v>29</v>
      </c>
      <c r="D31" s="155">
        <v>0.21718829665774589</v>
      </c>
      <c r="E31" s="148" t="s">
        <v>289</v>
      </c>
      <c r="G31" s="178">
        <v>0</v>
      </c>
      <c r="H31" s="177">
        <v>0</v>
      </c>
    </row>
    <row r="32" spans="2:8" x14ac:dyDescent="0.25">
      <c r="B32" s="43" t="s">
        <v>285</v>
      </c>
      <c r="C32" s="6" t="s">
        <v>29</v>
      </c>
      <c r="D32" s="155">
        <v>0.05</v>
      </c>
      <c r="E32" s="148" t="s">
        <v>301</v>
      </c>
      <c r="G32" s="178">
        <v>10</v>
      </c>
      <c r="H32" s="177">
        <v>0</v>
      </c>
    </row>
    <row r="33" spans="2:8" x14ac:dyDescent="0.25">
      <c r="B33" s="43" t="s">
        <v>31</v>
      </c>
      <c r="C33" s="6" t="s">
        <v>32</v>
      </c>
      <c r="D33" s="156">
        <f>D29*D18</f>
        <v>0</v>
      </c>
      <c r="E33" s="148" t="s">
        <v>292</v>
      </c>
      <c r="G33" s="178">
        <v>100</v>
      </c>
      <c r="H33" s="177">
        <v>-1</v>
      </c>
    </row>
    <row r="34" spans="2:8" x14ac:dyDescent="0.25">
      <c r="B34" s="43" t="s">
        <v>33</v>
      </c>
      <c r="C34" s="6" t="s">
        <v>32</v>
      </c>
      <c r="D34" s="156">
        <f>D30*D21</f>
        <v>0</v>
      </c>
      <c r="E34" s="148" t="s">
        <v>292</v>
      </c>
      <c r="G34" s="178">
        <v>199</v>
      </c>
      <c r="H34" s="177">
        <v>-1</v>
      </c>
    </row>
    <row r="35" spans="2:8" x14ac:dyDescent="0.25">
      <c r="B35" s="43" t="s">
        <v>250</v>
      </c>
      <c r="C35" s="6" t="s">
        <v>32</v>
      </c>
      <c r="D35" s="156">
        <f>D31*D25</f>
        <v>0</v>
      </c>
      <c r="E35" s="148" t="s">
        <v>292</v>
      </c>
      <c r="G35" s="178">
        <v>1000</v>
      </c>
      <c r="H35" s="177">
        <v>-2</v>
      </c>
    </row>
    <row r="36" spans="2:8" x14ac:dyDescent="0.25">
      <c r="B36" s="43" t="s">
        <v>34</v>
      </c>
      <c r="C36" s="6" t="s">
        <v>32</v>
      </c>
      <c r="D36" s="156">
        <f>SUM(D33:D35)</f>
        <v>0</v>
      </c>
      <c r="E36" s="148" t="s">
        <v>290</v>
      </c>
      <c r="G36" s="178">
        <v>10000</v>
      </c>
      <c r="H36" s="177">
        <v>-3</v>
      </c>
    </row>
    <row r="37" spans="2:8" x14ac:dyDescent="0.25">
      <c r="D37" s="40"/>
      <c r="E37" s="148"/>
      <c r="G37" s="178">
        <v>1000000</v>
      </c>
      <c r="H37" s="177">
        <v>-4</v>
      </c>
    </row>
    <row r="38" spans="2:8" ht="17.25" x14ac:dyDescent="0.25">
      <c r="B38" s="43" t="s">
        <v>35</v>
      </c>
      <c r="C38" s="6" t="s">
        <v>76</v>
      </c>
      <c r="D38" s="157">
        <f>0.15</f>
        <v>0.15</v>
      </c>
      <c r="E38" s="148" t="s">
        <v>288</v>
      </c>
      <c r="G38" s="178"/>
      <c r="H38" s="177"/>
    </row>
    <row r="39" spans="2:8" x14ac:dyDescent="0.25">
      <c r="B39" s="43" t="s">
        <v>35</v>
      </c>
      <c r="C39" s="6" t="s">
        <v>36</v>
      </c>
      <c r="D39" s="158">
        <f>0.15/10.55</f>
        <v>1.4218009478672985E-2</v>
      </c>
      <c r="E39" s="148" t="s">
        <v>284</v>
      </c>
      <c r="G39" s="178"/>
      <c r="H39" s="177"/>
    </row>
    <row r="40" spans="2:8" ht="17.25" x14ac:dyDescent="0.25">
      <c r="B40" s="43" t="s">
        <v>37</v>
      </c>
      <c r="C40" s="6" t="s">
        <v>76</v>
      </c>
      <c r="D40" s="157">
        <f>'Fuel Switching Options'!E56</f>
        <v>0</v>
      </c>
      <c r="E40" s="148" t="s">
        <v>14</v>
      </c>
      <c r="G40" s="178"/>
      <c r="H40" s="177"/>
    </row>
    <row r="41" spans="2:8" x14ac:dyDescent="0.25">
      <c r="B41" s="43" t="s">
        <v>37</v>
      </c>
      <c r="C41" s="6" t="s">
        <v>36</v>
      </c>
      <c r="D41" s="159">
        <f>D40/10.55</f>
        <v>0</v>
      </c>
      <c r="E41" s="148" t="s">
        <v>284</v>
      </c>
      <c r="G41" s="177"/>
      <c r="H41" s="177"/>
    </row>
    <row r="42" spans="2:8" x14ac:dyDescent="0.25">
      <c r="B42" s="43" t="s">
        <v>78</v>
      </c>
      <c r="C42" s="6" t="s">
        <v>36</v>
      </c>
      <c r="D42" s="157">
        <f>IF(D41&lt;&gt;0,D41,IF(D39&lt;&gt;0,D39,0))</f>
        <v>1.4218009478672985E-2</v>
      </c>
      <c r="E42" s="148" t="s">
        <v>65</v>
      </c>
      <c r="H42" s="21"/>
    </row>
    <row r="43" spans="2:8" x14ac:dyDescent="0.25">
      <c r="B43" s="43" t="s">
        <v>38</v>
      </c>
      <c r="C43" s="6" t="s">
        <v>36</v>
      </c>
      <c r="D43" s="157">
        <f>(18.2+12.2+8.7)/(3*100)</f>
        <v>0.1303333333333333</v>
      </c>
      <c r="E43" s="148" t="s">
        <v>288</v>
      </c>
      <c r="H43" s="8"/>
    </row>
    <row r="44" spans="2:8" x14ac:dyDescent="0.25">
      <c r="B44" s="43" t="s">
        <v>39</v>
      </c>
      <c r="C44" s="6" t="s">
        <v>36</v>
      </c>
      <c r="D44" s="160">
        <f>'Fuel Switching Options'!E58</f>
        <v>0</v>
      </c>
      <c r="E44" s="148" t="s">
        <v>14</v>
      </c>
      <c r="H44" s="9"/>
    </row>
    <row r="45" spans="2:8" x14ac:dyDescent="0.25">
      <c r="B45" s="43" t="s">
        <v>77</v>
      </c>
      <c r="C45" s="6" t="s">
        <v>36</v>
      </c>
      <c r="D45" s="157">
        <f>IF(D44&lt;&gt;0,D44,IF(D43&lt;&gt;0,D43,0))</f>
        <v>0.1303333333333333</v>
      </c>
      <c r="E45" s="148" t="s">
        <v>66</v>
      </c>
      <c r="H45" s="21"/>
    </row>
    <row r="46" spans="2:8" x14ac:dyDescent="0.25">
      <c r="B46" s="43" t="s">
        <v>246</v>
      </c>
      <c r="C46" s="6" t="s">
        <v>36</v>
      </c>
      <c r="D46" s="157">
        <v>0.11</v>
      </c>
      <c r="E46" s="148" t="s">
        <v>288</v>
      </c>
      <c r="H46" s="21"/>
    </row>
    <row r="47" spans="2:8" x14ac:dyDescent="0.25">
      <c r="B47" s="43" t="s">
        <v>247</v>
      </c>
      <c r="C47" s="6" t="s">
        <v>36</v>
      </c>
      <c r="D47" s="157">
        <f>'Fuel Switching Options'!E60</f>
        <v>0</v>
      </c>
      <c r="E47" s="148" t="s">
        <v>14</v>
      </c>
      <c r="H47" s="21"/>
    </row>
    <row r="48" spans="2:8" x14ac:dyDescent="0.25">
      <c r="B48" s="43" t="s">
        <v>248</v>
      </c>
      <c r="C48" s="6" t="s">
        <v>36</v>
      </c>
      <c r="D48" s="157">
        <f>IF(D47&lt;&gt;0,D47,IF(D46&lt;&gt;0,D46,0))</f>
        <v>0.11</v>
      </c>
      <c r="E48" s="148" t="s">
        <v>295</v>
      </c>
      <c r="H48" s="21"/>
    </row>
    <row r="49" spans="1:9" x14ac:dyDescent="0.25">
      <c r="B49" s="43" t="s">
        <v>40</v>
      </c>
      <c r="C49" s="6" t="s">
        <v>41</v>
      </c>
      <c r="D49" s="156">
        <f>D45*D21</f>
        <v>0</v>
      </c>
      <c r="E49" s="148" t="s">
        <v>291</v>
      </c>
      <c r="H49" s="21"/>
    </row>
    <row r="50" spans="1:9" x14ac:dyDescent="0.25">
      <c r="B50" s="43" t="s">
        <v>42</v>
      </c>
      <c r="C50" s="6" t="s">
        <v>41</v>
      </c>
      <c r="D50" s="156">
        <f>D42*D18</f>
        <v>0</v>
      </c>
      <c r="E50" s="148" t="s">
        <v>291</v>
      </c>
      <c r="H50" s="21"/>
    </row>
    <row r="51" spans="1:9" x14ac:dyDescent="0.25">
      <c r="B51" s="43" t="s">
        <v>249</v>
      </c>
      <c r="C51" s="6" t="s">
        <v>41</v>
      </c>
      <c r="D51" s="156">
        <f>D25*D48</f>
        <v>0</v>
      </c>
      <c r="E51" s="148" t="s">
        <v>291</v>
      </c>
      <c r="H51" s="21"/>
    </row>
    <row r="52" spans="1:9" x14ac:dyDescent="0.25">
      <c r="B52" s="43" t="s">
        <v>43</v>
      </c>
      <c r="C52" s="6" t="s">
        <v>41</v>
      </c>
      <c r="D52" s="156">
        <f>SUM(D49:D51)</f>
        <v>0</v>
      </c>
      <c r="E52" s="148" t="s">
        <v>291</v>
      </c>
      <c r="H52" s="21"/>
    </row>
    <row r="53" spans="1:9" x14ac:dyDescent="0.25">
      <c r="B53"/>
      <c r="D53" s="40"/>
      <c r="E53"/>
      <c r="G53" s="40"/>
      <c r="H53"/>
    </row>
    <row r="54" spans="1:9" x14ac:dyDescent="0.25">
      <c r="A54" s="13"/>
      <c r="B54" s="3" t="s">
        <v>6</v>
      </c>
      <c r="C54" s="5"/>
    </row>
    <row r="55" spans="1:9" x14ac:dyDescent="0.25">
      <c r="A55" s="13"/>
      <c r="D55" s="166" t="s">
        <v>127</v>
      </c>
      <c r="G55" s="94"/>
      <c r="H55" s="93" t="s">
        <v>206</v>
      </c>
      <c r="I55" s="42" t="s">
        <v>207</v>
      </c>
    </row>
    <row r="56" spans="1:9" x14ac:dyDescent="0.25">
      <c r="A56" s="13"/>
      <c r="B56" s="43" t="s">
        <v>126</v>
      </c>
      <c r="C56" s="6" t="s">
        <v>287</v>
      </c>
      <c r="D56" s="167" t="str">
        <f>IFERROR(VLOOKUP(D4&amp;D5&amp;"-1",'Retrofit Data'!B6:AE43,'Retrofit Data'!G4,FALSE),"No match")</f>
        <v>No match</v>
      </c>
      <c r="E56" s="8"/>
      <c r="G56" s="95" t="s">
        <v>6</v>
      </c>
      <c r="H56" s="173" t="e">
        <f>IF(D63=D64,
TEXT(ROUND(MIN(D63:D64),VLOOKUP(ABS(MIN(D63:D64)),$G$30:$H$41,2,TRUE)),"#,###0"),
TEXT(ROUND(MIN(D63:D64),VLOOKUP(ABS(MIN(D63:D64)),$G$30:$H$41,2,TRUE)),"#,###0") &amp;" to " &amp;TEXT(ROUND(MAX(D63:D64),VLOOKUP(ABS(MAX(D63:D64)),$G$30:$H$41,2,TRUE)),"#,###0")) &amp; " ekWh/year"</f>
        <v>#N/A</v>
      </c>
      <c r="I56" s="174" t="e">
        <f>"(" &amp;IF(D65=D66,TEXT((MIN(D65:D66)),"#0%"),TEXT((MIN(D65:D66)),"#0%")&amp;" to "&amp;TEXT((MAX(D65:D66)),"#0%"))&amp;")"</f>
        <v>#N/A</v>
      </c>
    </row>
    <row r="57" spans="1:9" x14ac:dyDescent="0.25">
      <c r="A57" s="13"/>
      <c r="B57" s="43" t="s">
        <v>197</v>
      </c>
      <c r="C57" s="6" t="s">
        <v>286</v>
      </c>
      <c r="D57" s="168" t="e">
        <f>IF($D$22="Yes",
$D$18-(VLOOKUP(D56&amp;$D$5,'Retrofit Data - DES'!$D$7:$AE$43,'Retrofit Data - DES'!P$4-2,FALSE)*$D$18),
$D$18-(VLOOKUP(D56&amp;$D$5,'Retrofit Data'!$D$6:$AE$43,'Retrofit Data'!P$4-2,FALSE)*$D$18))</f>
        <v>#N/A</v>
      </c>
      <c r="E57" s="8"/>
      <c r="G57" s="95" t="s">
        <v>7</v>
      </c>
      <c r="H57" s="173" t="e">
        <f>IF(D67&lt;&gt;D68,TEXT(ROUND(MIN(D67:D68),VLOOKUP(ABS(MIN(D67:D68)),$G$30:$H$41,2,TRUE)),"$#,###0") &amp;" to " &amp;TEXT(ROUND(MAX(D67:D68),VLOOKUP(ABS(MAX(D67:D68)),$G$30:$H$41,2,TRUE)),"$#,###0"),TEXT(ROUND(D67,VLOOKUP(D67,$G$30:$H$41,2,TRUE)),"$#,###0")) &amp;"/year"</f>
        <v>#N/A</v>
      </c>
      <c r="I57" s="174" t="e">
        <f>"("&amp;IF(D69=D70,TEXT((MIN(D69:D70)),"#0%"),TEXT((MIN(D69:D70)),"#0%")&amp;" to "&amp;TEXT((MAX(D69:D70)),"#0%"))&amp;")"</f>
        <v>#N/A</v>
      </c>
    </row>
    <row r="58" spans="1:9" x14ac:dyDescent="0.25">
      <c r="A58" s="13"/>
      <c r="B58" s="43" t="s">
        <v>198</v>
      </c>
      <c r="C58" s="6" t="s">
        <v>286</v>
      </c>
      <c r="D58" s="168" t="e">
        <f>IF($D$22="Yes",
$D$18-(VLOOKUP(D56&amp;$D$5,'Retrofit Data - DES'!$D$7:$AE$43,'Retrofit Data - DES'!Q$4-2,FALSE)*$D$18),
$D$18-(VLOOKUP(D56&amp;$D$5,'Retrofit Data'!$D$6:$AE$43,'Retrofit Data'!Q$4-2,FALSE)*$D$18))</f>
        <v>#N/A</v>
      </c>
      <c r="E58" s="8"/>
      <c r="G58" s="95" t="s">
        <v>8</v>
      </c>
      <c r="H58" s="173" t="e">
        <f>IF(D71&lt;&gt;D72,TEXT(ROUND(MIN(D71:D72),VLOOKUP(ABS(MIN(D71:D72)),$G$30:$H$41,2,TRUE)),"#,###0")&amp;" to "&amp;TEXT(ROUND(MAX(D71:D72),VLOOKUP(ABS(MAX(D71:D72)),$G$30:$H$41,2,TRUE)),"#,###0")&amp;" kgCO₂e/year",TEXT(ROUND(D71,VLOOKUP(ABS(D71),$G$30:$H$41,2,TRUE)),"#,###0")&amp;" kgCO₂e/year")</f>
        <v>#N/A</v>
      </c>
      <c r="I58" s="174" t="e">
        <f>"("&amp;IF(D73=D74,TEXT((MIN(D73:D74)),"#0%"),TEXT((MIN(D73:D74)),"#0%")&amp;" to "&amp;TEXT((MAX(D73:D74)),"#0%"))&amp;")"</f>
        <v>#N/A</v>
      </c>
    </row>
    <row r="59" spans="1:9" x14ac:dyDescent="0.25">
      <c r="A59" s="13"/>
      <c r="B59" s="43" t="s">
        <v>199</v>
      </c>
      <c r="C59" s="6" t="s">
        <v>286</v>
      </c>
      <c r="D59" s="169" t="e">
        <f>IF($D$22="Yes",
$D$21-((VLOOKUP(D56&amp;$D$5,'Retrofit Data - DES'!$D$7:$AE$43,'Retrofit Data - DES'!R$4-2,FALSE)*$D$21)+(VLOOKUP(D56&amp;$D$5,'Retrofit Data - DES'!$D$7:$AE$43,'Retrofit Data - DES'!V$4-2,FALSE)*$D$25)),
$D$21-((VLOOKUP(D56&amp;$D$5,'Retrofit Data'!$D$6:$AE$43,'Retrofit Data'!R$4-2,FALSE)*$D$21)+(VLOOKUP(D56&amp;$D$5,'Retrofit Data'!$D$6:$AE$43,'Retrofit Data'!V$4-2,FALSE)*$D$18)))</f>
        <v>#N/A</v>
      </c>
      <c r="E59" s="8"/>
      <c r="G59" s="95" t="s">
        <v>131</v>
      </c>
      <c r="H59" s="175" t="e">
        <f>VLOOKUP(D56,'Heating System Database'!$C$4:$K$10,VLOOKUP(D5,'Drop Down Database'!$B$3:$C$12,2,FALSE)+4,FALSE)</f>
        <v>#N/A</v>
      </c>
      <c r="I59" s="147"/>
    </row>
    <row r="60" spans="1:9" x14ac:dyDescent="0.25">
      <c r="A60" s="13"/>
      <c r="B60" s="43" t="s">
        <v>200</v>
      </c>
      <c r="C60" s="6" t="s">
        <v>286</v>
      </c>
      <c r="D60" s="169" t="e">
        <f>IF($D$22="Yes",
$D$21-((VLOOKUP(D56&amp;$D$5,'Retrofit Data - DES'!$D$7:$AE$43,'Retrofit Data - DES'!S$4-2,FALSE)*$D$21)+(VLOOKUP(D56&amp;$D$5,'Retrofit Data - DES'!$D$7:$AE$43,'Retrofit Data - DES'!W$4-2,FALSE)*$D$25)),
$D$21-((VLOOKUP(D56&amp;$D$5,'Retrofit Data'!$D$6:$AE$43,'Retrofit Data'!S$4-2,FALSE)*$D$21)+(VLOOKUP(D56&amp;$D$5,'Retrofit Data'!$D$6:$AE$43,'Retrofit Data'!W$4-2,FALSE)*$D$18)))</f>
        <v>#N/A</v>
      </c>
      <c r="E60" s="8"/>
      <c r="G60" s="95" t="s">
        <v>201</v>
      </c>
      <c r="H60" s="175" t="e">
        <f>VLOOKUP(D56,'Heating System Database'!$C$4:$K$10,VLOOKUP(D5,'Drop Down Database'!$B$3:$C$12,2,FALSE)+6,FALSE)</f>
        <v>#N/A</v>
      </c>
      <c r="I60" s="147"/>
    </row>
    <row r="61" spans="1:9" x14ac:dyDescent="0.25">
      <c r="A61" s="13"/>
      <c r="B61" s="43" t="s">
        <v>244</v>
      </c>
      <c r="C61" s="6" t="s">
        <v>286</v>
      </c>
      <c r="D61" s="168" t="e">
        <f>IF($D$22="yes",
$D$25-(VLOOKUP(D56&amp;$D$5,'Retrofit Data - DES'!$D$7:$AE$43,'Retrofit Data - DES'!T$4-2,FALSE)*$D$25),
(VLOOKUP(D56&amp;$D$5,'Retrofit Data'!$D$6:$AE$43,'Retrofit Data'!T$4-2,FALSE)*$D$25*-1))</f>
        <v>#N/A</v>
      </c>
      <c r="E61" s="154"/>
      <c r="G61" s="95"/>
    </row>
    <row r="62" spans="1:9" x14ac:dyDescent="0.25">
      <c r="A62" s="13"/>
      <c r="B62" s="43" t="s">
        <v>245</v>
      </c>
      <c r="C62" s="6" t="s">
        <v>286</v>
      </c>
      <c r="D62" s="168" t="e">
        <f>IF($D$22="yes",
$D$25-(VLOOKUP(D56&amp;$D$5,'Retrofit Data - DES'!$D$7:$AE$43,'Retrofit Data - DES'!U$4-2,FALSE)*$D$25),
(VLOOKUP(D56&amp;$D$5,'Retrofit Data'!$D$6:$AE$43,'Retrofit Data'!U$4-2,FALSE)*$D$25*-1))</f>
        <v>#N/A</v>
      </c>
      <c r="E62" s="8"/>
    </row>
    <row r="63" spans="1:9" x14ac:dyDescent="0.25">
      <c r="A63" s="13"/>
      <c r="B63" s="43" t="s">
        <v>225</v>
      </c>
      <c r="C63" s="6" t="s">
        <v>286</v>
      </c>
      <c r="D63" s="170" t="e">
        <f>D$26-(D57+D59+D61)</f>
        <v>#N/A</v>
      </c>
      <c r="E63" s="8"/>
    </row>
    <row r="64" spans="1:9" x14ac:dyDescent="0.25">
      <c r="A64" s="13"/>
      <c r="B64" s="43" t="s">
        <v>226</v>
      </c>
      <c r="C64" s="6" t="s">
        <v>286</v>
      </c>
      <c r="D64" s="170" t="e">
        <f>D$26-(D58+D60+D62)</f>
        <v>#N/A</v>
      </c>
      <c r="E64" s="8"/>
    </row>
    <row r="65" spans="1:9" x14ac:dyDescent="0.25">
      <c r="A65" s="13"/>
      <c r="B65" s="43" t="s">
        <v>185</v>
      </c>
      <c r="C65" s="6" t="s">
        <v>44</v>
      </c>
      <c r="D65" s="171" t="e">
        <f>(D64)/$D$26</f>
        <v>#N/A</v>
      </c>
      <c r="E65" s="8"/>
    </row>
    <row r="66" spans="1:9" x14ac:dyDescent="0.25">
      <c r="A66" s="13"/>
      <c r="B66" s="43" t="s">
        <v>186</v>
      </c>
      <c r="C66" s="6" t="s">
        <v>44</v>
      </c>
      <c r="D66" s="171" t="e">
        <f>(D63)/$D$26</f>
        <v>#N/A</v>
      </c>
      <c r="E66" s="9"/>
    </row>
    <row r="67" spans="1:9" x14ac:dyDescent="0.25">
      <c r="A67" s="13"/>
      <c r="B67" s="43" t="s">
        <v>202</v>
      </c>
      <c r="C67" s="6" t="s">
        <v>41</v>
      </c>
      <c r="D67" s="172" t="e">
        <f>D$52-((MAX(D57)*$D$42)+(MAX(D59)*$D$45)+(MAX(D61)*$D$48))</f>
        <v>#N/A</v>
      </c>
      <c r="E67" s="21"/>
    </row>
    <row r="68" spans="1:9" x14ac:dyDescent="0.25">
      <c r="A68" s="13"/>
      <c r="B68" s="43" t="s">
        <v>203</v>
      </c>
      <c r="C68" s="6" t="s">
        <v>41</v>
      </c>
      <c r="D68" s="172" t="e">
        <f>D$52-((MIN(D58)*$D$42)+(MIN(D60)*$D$45)+(MIN(D62)*$D$48))</f>
        <v>#N/A</v>
      </c>
      <c r="E68" s="21"/>
    </row>
    <row r="69" spans="1:9" x14ac:dyDescent="0.25">
      <c r="A69" s="13"/>
      <c r="B69" s="43" t="s">
        <v>204</v>
      </c>
      <c r="C69" s="6" t="s">
        <v>44</v>
      </c>
      <c r="D69" s="171" t="e">
        <f>(D68)/$D$52</f>
        <v>#N/A</v>
      </c>
      <c r="E69" s="21"/>
      <c r="G69" s="40"/>
    </row>
    <row r="70" spans="1:9" x14ac:dyDescent="0.25">
      <c r="A70" s="13"/>
      <c r="B70" s="43" t="s">
        <v>205</v>
      </c>
      <c r="C70" s="5" t="s">
        <v>44</v>
      </c>
      <c r="D70" s="171" t="e">
        <f>(D67)/$D$52</f>
        <v>#N/A</v>
      </c>
      <c r="G70" s="40"/>
    </row>
    <row r="71" spans="1:9" x14ac:dyDescent="0.25">
      <c r="A71" s="13"/>
      <c r="B71" s="43" t="s">
        <v>258</v>
      </c>
      <c r="C71" s="6" t="s">
        <v>32</v>
      </c>
      <c r="D71" s="168" t="e">
        <f>$D$36-((MIN(D57)*$D$29)+(MIN(D59)*$D$30)+(MIN(D61)*IF(ISNUMBER(SEARCH("district",D56)),$D$32,$D$31)))</f>
        <v>#N/A</v>
      </c>
      <c r="E71" s="126"/>
      <c r="G71" s="125"/>
      <c r="H71" s="127"/>
      <c r="I71" s="129"/>
    </row>
    <row r="72" spans="1:9" x14ac:dyDescent="0.25">
      <c r="A72" s="13"/>
      <c r="B72" s="43" t="s">
        <v>259</v>
      </c>
      <c r="C72" s="6" t="s">
        <v>32</v>
      </c>
      <c r="D72" s="168" t="e">
        <f>D$36-((MAX(D58)*$D$29)+(MAX(D60)*$D$30)+(MAX(D62)*IF(ISNUMBER(SEARCH("district",D56)),$D$32,$D$31)))</f>
        <v>#N/A</v>
      </c>
      <c r="E72" s="126"/>
      <c r="G72" s="131"/>
      <c r="H72" s="127"/>
      <c r="I72" s="129"/>
    </row>
    <row r="73" spans="1:9" x14ac:dyDescent="0.25">
      <c r="A73" s="13"/>
      <c r="B73" s="43" t="s">
        <v>209</v>
      </c>
      <c r="C73" s="5" t="s">
        <v>44</v>
      </c>
      <c r="D73" s="171" t="e">
        <f>(D72)/$D$36</f>
        <v>#N/A</v>
      </c>
      <c r="E73" s="127"/>
      <c r="G73" s="127"/>
    </row>
    <row r="74" spans="1:9" x14ac:dyDescent="0.25">
      <c r="A74" s="13"/>
      <c r="B74" s="43" t="s">
        <v>210</v>
      </c>
      <c r="C74" s="5" t="s">
        <v>44</v>
      </c>
      <c r="D74" s="171" t="e">
        <f>(D71)/$D$36</f>
        <v>#N/A</v>
      </c>
      <c r="E74" s="127"/>
      <c r="G74" s="128"/>
    </row>
    <row r="75" spans="1:9" x14ac:dyDescent="0.25">
      <c r="A75" s="13"/>
      <c r="B75" s="43" t="s">
        <v>317</v>
      </c>
      <c r="C75" s="5"/>
      <c r="D75" s="171" t="str">
        <f>IF(D56="No match",VLOOKUP("Empty",'Heating System Database'!$A$4:$D$20,4,FALSE),VLOOKUP($D$4&amp;$D56,'Heating System Database'!$A$4:$D$20,4,FALSE)&amp;VLOOKUP($D$5,'Drop Down Database'!$B$3:$D$12,3,FALSE))</f>
        <v>Empty</v>
      </c>
      <c r="E75" s="4" cm="1">
        <f t="array" aca="1" ref="E75" ca="1">INDIRECT(D75)</f>
        <v>0</v>
      </c>
      <c r="G75" s="40"/>
    </row>
    <row r="76" spans="1:9" x14ac:dyDescent="0.25">
      <c r="A76" s="13"/>
      <c r="C76" s="5"/>
      <c r="D76" s="40"/>
      <c r="G76" s="40"/>
    </row>
    <row r="77" spans="1:9" x14ac:dyDescent="0.25">
      <c r="A77" s="13"/>
      <c r="B77" s="3"/>
      <c r="C77" s="5"/>
      <c r="D77" s="45" t="s">
        <v>128</v>
      </c>
      <c r="G77" s="94"/>
      <c r="H77" s="93" t="s">
        <v>206</v>
      </c>
      <c r="I77" s="42" t="s">
        <v>207</v>
      </c>
    </row>
    <row r="78" spans="1:9" x14ac:dyDescent="0.25">
      <c r="A78" s="13"/>
      <c r="B78" s="43" t="s">
        <v>126</v>
      </c>
      <c r="C78" s="6" t="s">
        <v>287</v>
      </c>
      <c r="D78" s="167" t="str">
        <f>IFERROR(VLOOKUP(D4&amp;D5&amp;"-2",'Retrofit Data'!B6:AE43,'Retrofit Data'!G4,FALSE), "No match")</f>
        <v>No match</v>
      </c>
      <c r="E78" s="8"/>
      <c r="G78" s="95" t="s">
        <v>6</v>
      </c>
      <c r="H78" s="173" t="e">
        <f>IF(D85=D86,
TEXT(ROUND(MIN(D85:D86),VLOOKUP(ABS(MIN(D85:D86)),$G$30:$H$41,2,TRUE)),"#,###0"),
TEXT(ROUND(MIN(D85:D86),VLOOKUP(ABS(MIN(D85:D86)),$G$30:$H$41,2,TRUE)),"#,###0") &amp;" to " &amp;TEXT(ROUND(MAX(D85:D86),VLOOKUP(ABS(MAX(D85:D86)),$G$30:$H$41,2,TRUE)),"#,###0")) &amp; " ekWh/year"</f>
        <v>#N/A</v>
      </c>
      <c r="I78" s="174" t="e">
        <f>"(" &amp;IF(D87=D88,TEXT((MIN(D87:D88)),"#0%"),TEXT((MIN(D87:D88)),"#0%")&amp;" to "&amp;TEXT((MAX(D87:D88)),"#0%"))&amp;")"</f>
        <v>#N/A</v>
      </c>
    </row>
    <row r="79" spans="1:9" x14ac:dyDescent="0.25">
      <c r="A79" s="13"/>
      <c r="B79" s="43" t="s">
        <v>197</v>
      </c>
      <c r="C79" s="6" t="s">
        <v>286</v>
      </c>
      <c r="D79" s="168" t="e">
        <f>IF($D$22="yes",
$D$18-(VLOOKUP(D78&amp;$D$5,'Retrofit Data - DES'!$D$7:$AE$43,'Retrofit Data - DES'!P$4-2,FALSE)*$D$18),
$D$18-(VLOOKUP(D78&amp;$D$5,'Retrofit Data'!$D$6:$AE$43,'Retrofit Data'!P$4-2,FALSE)*$D$18))</f>
        <v>#N/A</v>
      </c>
      <c r="E79" s="9"/>
      <c r="G79" s="95" t="s">
        <v>7</v>
      </c>
      <c r="H79" s="173" t="e">
        <f>IF(D89&lt;&gt;D90,TEXT(ROUND(MIN(D89:D90),VLOOKUP(ABS(MIN(D89:D90)),$G$30:$H$41,2,TRUE)),"$#,###0") &amp;" to " &amp;TEXT(ROUND(MAX(D89:D90),VLOOKUP(ABS(MAX(D89:D90)),$G$30:$H$41,2,TRUE)),"$#,###0"),TEXT(ROUND(D89,VLOOKUP(D89,$G$30:$H$41,2,TRUE)),"$#,###0")) &amp;"/year"</f>
        <v>#N/A</v>
      </c>
      <c r="I79" s="174" t="e">
        <f>"("&amp;IF(D91=D92,TEXT((MIN(D91:D92)),"#0%"),TEXT((MIN(D91:D92)),"#0%")&amp;" to "&amp;TEXT((MAX(D91:D92)),"#0%"))&amp;")"</f>
        <v>#N/A</v>
      </c>
    </row>
    <row r="80" spans="1:9" x14ac:dyDescent="0.25">
      <c r="A80" s="13"/>
      <c r="B80" s="43" t="s">
        <v>198</v>
      </c>
      <c r="C80" s="6" t="s">
        <v>286</v>
      </c>
      <c r="D80" s="168" t="e">
        <f>IF($D$22="Yes",
$D$18-(VLOOKUP(D78&amp;$D$5,'Retrofit Data - DES'!$D$7:$AE$43,'Retrofit Data - DES'!Q$4-2,FALSE)*$D$18),
$D$18-(VLOOKUP(D78&amp;$D$5,'Retrofit Data'!$D$6:$AE$43,'Retrofit Data'!Q$4-2,FALSE)*$D$18))</f>
        <v>#N/A</v>
      </c>
      <c r="E80" s="9"/>
      <c r="G80" s="95" t="s">
        <v>8</v>
      </c>
      <c r="H80" s="173" t="e">
        <f>IF(D93&lt;&gt;D94,TEXT(ROUND(MIN(D93:D94),VLOOKUP(ABS(MIN(D93:D94)),$G$30:$H$41,2,TRUE)),"#,###0")&amp;" to "&amp;TEXT(ROUND(MAX(D93:D94),VLOOKUP(ABS(MAX(D93:D94)),$G$30:$H$41,2,TRUE)),"#,###0")&amp;" kgCO₂e/year",TEXT(ROUND(D93,VLOOKUP(ABS(D93),$G$30:$H$41,2,TRUE)),"#,###0")&amp;" kgCO₂e/year")</f>
        <v>#N/A</v>
      </c>
      <c r="I80" s="174" t="e">
        <f>"("&amp;IF(D95=D96,TEXT((MIN(D95:D96)),"#0%"),TEXT((MIN(D95:D96)),"#0%")&amp;" to "&amp;TEXT((MAX(D95:D96)),"#0%"))&amp;")"</f>
        <v>#N/A</v>
      </c>
    </row>
    <row r="81" spans="1:9" x14ac:dyDescent="0.25">
      <c r="A81" s="13"/>
      <c r="B81" s="43" t="s">
        <v>199</v>
      </c>
      <c r="C81" s="6" t="s">
        <v>286</v>
      </c>
      <c r="D81" s="169" t="e">
        <f>IF($D$22="Yes",
$D$21-((VLOOKUP(D78&amp;$D$5,'Retrofit Data - DES'!$D$7:$AE$43,'Retrofit Data - DES'!R$4-2,FALSE)*$D$21)+(VLOOKUP(D78&amp;$D$5,'Retrofit Data - DES'!$D$7:$AE$43,'Retrofit Data - DES'!V$4-2,FALSE)*$D$25)),
$D$21-((VLOOKUP(D78&amp;$D$5,'Retrofit Data'!$D$6:$AE$43,'Retrofit Data'!R$4-2,FALSE)*$D$21)+(VLOOKUP(D78&amp;$D$5,'Retrofit Data'!$D$6:$AE$43,'Retrofit Data'!V$4-2,FALSE)*$D$18)))</f>
        <v>#N/A</v>
      </c>
      <c r="E81" s="9"/>
      <c r="G81" s="95" t="s">
        <v>131</v>
      </c>
      <c r="H81" s="175" t="e">
        <f>VLOOKUP(D78,'Heating System Database'!$C$4:$K$10,VLOOKUP(D5,'Drop Down Database'!$B$3:$C$12,2,FALSE)+4,FALSE)</f>
        <v>#N/A</v>
      </c>
      <c r="I81" s="147"/>
    </row>
    <row r="82" spans="1:9" x14ac:dyDescent="0.25">
      <c r="A82" s="13"/>
      <c r="B82" s="43" t="s">
        <v>200</v>
      </c>
      <c r="C82" s="6" t="s">
        <v>286</v>
      </c>
      <c r="D82" s="169" t="e">
        <f>IF($D$22="Yes",
$D$21-((VLOOKUP(D78&amp;$D$5,'Retrofit Data - DES'!$D$7:$AE$43,'Retrofit Data - DES'!S$4-2,FALSE)*$D$21)+(VLOOKUP(D78&amp;$D$5,'Retrofit Data - DES'!$D$7:$AE$43,'Retrofit Data - DES'!W$4-2,FALSE)*$D$25)),
$D$21-((VLOOKUP(D78&amp;$D$5,'Retrofit Data'!$D$6:$AE$43,'Retrofit Data'!S$4-2,FALSE)*$D$21)+(VLOOKUP(D78&amp;$D$5,'Retrofit Data'!$D$6:$AE$43,'Retrofit Data'!W$4-2,FALSE)*$D$18)))</f>
        <v>#N/A</v>
      </c>
      <c r="E82" s="8"/>
      <c r="G82" s="95" t="s">
        <v>201</v>
      </c>
      <c r="H82" s="175" t="e">
        <f>VLOOKUP(D78,'Heating System Database'!$C$4:$K$10,VLOOKUP(D5,'Drop Down Database'!$B$3:$C$12,2,FALSE)+6,FALSE)</f>
        <v>#N/A</v>
      </c>
      <c r="I82" s="147"/>
    </row>
    <row r="83" spans="1:9" x14ac:dyDescent="0.25">
      <c r="A83" s="13"/>
      <c r="B83" s="43" t="s">
        <v>244</v>
      </c>
      <c r="C83" s="6" t="s">
        <v>286</v>
      </c>
      <c r="D83" s="168" t="e">
        <f>IF($D$22="yes",
$D$25-(VLOOKUP(D78&amp;$D$5,'Retrofit Data - DES'!$D$7:$AE$43,'Retrofit Data - DES'!T$4-2,FALSE)*$D$25),
(VLOOKUP(D78&amp;$D$5,'Retrofit Data'!$D$6:$AE$43,'Retrofit Data'!T$4-2,FALSE)*$D$25*-1))</f>
        <v>#N/A</v>
      </c>
      <c r="E83" s="8"/>
      <c r="G83" s="40"/>
    </row>
    <row r="84" spans="1:9" x14ac:dyDescent="0.25">
      <c r="A84" s="13"/>
      <c r="B84" s="43" t="s">
        <v>245</v>
      </c>
      <c r="C84" s="6" t="s">
        <v>286</v>
      </c>
      <c r="D84" s="168" t="e">
        <f>IF($D$22="yes",
$D$25-(VLOOKUP(D78&amp;$D$5,'Retrofit Data - DES'!$D$7:$AE$43,'Retrofit Data - DES'!U$4-2,FALSE)*$D$25),
(VLOOKUP(D78&amp;$D$5,'Retrofit Data'!$D$6:$AE$43,'Retrofit Data'!U$4-2,FALSE)*$D$25*-1))</f>
        <v>#N/A</v>
      </c>
      <c r="E84" s="21"/>
      <c r="G84" s="40"/>
    </row>
    <row r="85" spans="1:9" x14ac:dyDescent="0.25">
      <c r="A85" s="13"/>
      <c r="B85" s="43" t="s">
        <v>225</v>
      </c>
      <c r="C85" s="6" t="s">
        <v>286</v>
      </c>
      <c r="D85" s="170" t="e">
        <f>D$26-(D79+D81+D83)</f>
        <v>#N/A</v>
      </c>
      <c r="E85" s="21"/>
      <c r="G85" s="40"/>
    </row>
    <row r="86" spans="1:9" x14ac:dyDescent="0.25">
      <c r="A86" s="13"/>
      <c r="B86" s="43" t="s">
        <v>226</v>
      </c>
      <c r="C86" s="6" t="s">
        <v>286</v>
      </c>
      <c r="D86" s="170" t="e">
        <f>D$26-(D80+D82+D84)</f>
        <v>#N/A</v>
      </c>
      <c r="E86" s="21"/>
      <c r="G86" s="40"/>
    </row>
    <row r="87" spans="1:9" x14ac:dyDescent="0.25">
      <c r="A87" s="13"/>
      <c r="B87" s="43" t="s">
        <v>185</v>
      </c>
      <c r="C87" s="6" t="s">
        <v>44</v>
      </c>
      <c r="D87" s="171" t="e">
        <f>(D86)/$D$26</f>
        <v>#N/A</v>
      </c>
      <c r="E87" s="21"/>
      <c r="G87" s="40"/>
    </row>
    <row r="88" spans="1:9" x14ac:dyDescent="0.25">
      <c r="A88" s="13"/>
      <c r="B88" s="43" t="s">
        <v>186</v>
      </c>
      <c r="C88" s="6" t="s">
        <v>44</v>
      </c>
      <c r="D88" s="171" t="e">
        <f>(D85)/$D$26</f>
        <v>#N/A</v>
      </c>
      <c r="E88" s="21"/>
      <c r="G88" s="40"/>
    </row>
    <row r="89" spans="1:9" x14ac:dyDescent="0.25">
      <c r="A89" s="13"/>
      <c r="B89" s="43" t="s">
        <v>202</v>
      </c>
      <c r="C89" s="6" t="s">
        <v>41</v>
      </c>
      <c r="D89" s="172" t="e">
        <f>D$52-((MAX(D79)*$D$42)+(MAX(D81)*$D$45)+(MAX(D83)*$D$48))</f>
        <v>#N/A</v>
      </c>
      <c r="E89" s="21"/>
      <c r="G89" s="40"/>
    </row>
    <row r="90" spans="1:9" x14ac:dyDescent="0.25">
      <c r="A90" s="13"/>
      <c r="B90" s="43" t="s">
        <v>203</v>
      </c>
      <c r="C90" s="6" t="s">
        <v>41</v>
      </c>
      <c r="D90" s="172" t="e">
        <f>D$52-((MIN(D80)*$D$42)+(MIN(D82)*$D$45)+(MIN(D84)*$D$48))</f>
        <v>#N/A</v>
      </c>
      <c r="E90" s="21"/>
      <c r="G90" s="40"/>
    </row>
    <row r="91" spans="1:9" x14ac:dyDescent="0.25">
      <c r="A91" s="13"/>
      <c r="B91" s="43" t="s">
        <v>204</v>
      </c>
      <c r="C91" s="6" t="s">
        <v>44</v>
      </c>
      <c r="D91" s="171" t="e">
        <f>(D90)/$D$52</f>
        <v>#N/A</v>
      </c>
      <c r="E91" s="21"/>
      <c r="G91" s="40"/>
    </row>
    <row r="92" spans="1:9" x14ac:dyDescent="0.25">
      <c r="A92" s="13"/>
      <c r="B92" s="43" t="s">
        <v>205</v>
      </c>
      <c r="C92" s="5" t="s">
        <v>44</v>
      </c>
      <c r="D92" s="171" t="e">
        <f>(D89)/$D$52</f>
        <v>#N/A</v>
      </c>
      <c r="G92" s="40"/>
    </row>
    <row r="93" spans="1:9" x14ac:dyDescent="0.25">
      <c r="A93" s="13"/>
      <c r="B93" s="43" t="s">
        <v>209</v>
      </c>
      <c r="C93" s="6" t="s">
        <v>32</v>
      </c>
      <c r="D93" s="168" t="e">
        <f>$D$36-((MIN(D79)*$D$29)+(MIN(D81)*$D$30)+(MIN(D83)*IF(ISNUMBER(SEARCH("district",D78)),$D$32,$D$31)))</f>
        <v>#N/A</v>
      </c>
      <c r="E93" s="126"/>
      <c r="G93" s="125"/>
      <c r="H93" s="127"/>
    </row>
    <row r="94" spans="1:9" x14ac:dyDescent="0.25">
      <c r="A94" s="13"/>
      <c r="B94" s="43" t="s">
        <v>210</v>
      </c>
      <c r="C94" s="6" t="s">
        <v>32</v>
      </c>
      <c r="D94" s="168" t="e">
        <f>D$36-((MAX(D80)*$D$29)+(MAX(D82)*$D$30)+(MAX(D84)*IF(ISNUMBER(SEARCH("district",D78)),$D$32,$D$31)))</f>
        <v>#N/A</v>
      </c>
      <c r="E94" s="126"/>
      <c r="G94" s="131"/>
      <c r="H94" s="127"/>
    </row>
    <row r="95" spans="1:9" x14ac:dyDescent="0.25">
      <c r="A95" s="13"/>
      <c r="B95" s="43" t="s">
        <v>209</v>
      </c>
      <c r="C95" s="5" t="s">
        <v>44</v>
      </c>
      <c r="D95" s="171" t="e">
        <f>(D94)/$D$36</f>
        <v>#N/A</v>
      </c>
      <c r="E95" s="21"/>
      <c r="G95" s="40"/>
    </row>
    <row r="96" spans="1:9" x14ac:dyDescent="0.25">
      <c r="A96" s="13"/>
      <c r="B96" s="43" t="s">
        <v>210</v>
      </c>
      <c r="C96" s="5" t="s">
        <v>44</v>
      </c>
      <c r="D96" s="171" t="e">
        <f>(D93)/$D$36</f>
        <v>#N/A</v>
      </c>
      <c r="E96" s="21"/>
      <c r="G96" s="40"/>
    </row>
    <row r="97" spans="1:9" x14ac:dyDescent="0.25">
      <c r="A97" s="13"/>
      <c r="B97" s="43" t="s">
        <v>317</v>
      </c>
      <c r="C97" s="5"/>
      <c r="D97" s="171" t="str">
        <f>IF(D78="No match",VLOOKUP("Empty",'Heating System Database'!$A$4:$D$20,4,FALSE),VLOOKUP($D$4&amp;$D78,'Heating System Database'!$A$4:$D$20,4,FALSE)&amp;VLOOKUP($D$5,'Drop Down Database'!$B$3:$D$12,3,FALSE))</f>
        <v>Empty</v>
      </c>
      <c r="E97" s="21"/>
      <c r="G97" s="40"/>
    </row>
    <row r="98" spans="1:9" x14ac:dyDescent="0.25">
      <c r="A98" s="13"/>
      <c r="B98" s="3"/>
      <c r="C98" s="5"/>
      <c r="D98" s="40"/>
      <c r="E98" s="8"/>
    </row>
    <row r="99" spans="1:9" x14ac:dyDescent="0.25">
      <c r="A99" s="13"/>
      <c r="B99" s="3"/>
      <c r="C99" s="5"/>
      <c r="D99" s="45" t="s">
        <v>129</v>
      </c>
      <c r="E99" s="9"/>
      <c r="G99" s="94"/>
      <c r="H99" s="93" t="s">
        <v>206</v>
      </c>
      <c r="I99" s="42" t="s">
        <v>207</v>
      </c>
    </row>
    <row r="100" spans="1:9" x14ac:dyDescent="0.25">
      <c r="A100" s="13"/>
      <c r="B100" s="43" t="s">
        <v>126</v>
      </c>
      <c r="D100" s="167" t="str">
        <f>IFERROR(VLOOKUP(D4&amp;D5&amp;"-3",'Retrofit Data'!B6:AE43,'Retrofit Data'!G4,FALSE), "No match")</f>
        <v>No match</v>
      </c>
      <c r="E100" s="9"/>
      <c r="G100" s="95" t="s">
        <v>6</v>
      </c>
      <c r="H100" s="173" t="e">
        <f>IF(D107=D108,
TEXT(ROUND(MIN(D107:D108),VLOOKUP(ABS(MIN(D107:D108)),$G$30:$H$41,2,TRUE)),"#,###0"),
TEXT(ROUND(MIN(D107:D108),VLOOKUP(ABS(MIN(D107:D108)),$G$30:$H$41,2,TRUE)),"#,###0") &amp;" to " &amp;TEXT(ROUND(MAX(D107:D108),VLOOKUP(ABS(MAX(D107:D108)),$G$30:$H$41,2,TRUE)),"#,###0")) &amp; " ekWh/year"</f>
        <v>#N/A</v>
      </c>
      <c r="I100" s="174" t="e">
        <f>"(" &amp;IF(D109=D110,TEXT((MIN(D109:D110)),"#0%"),TEXT((MIN(D109:D110)),"#0%")&amp;" to "&amp;TEXT((MAX(D109:D110)),"#0%"))&amp;")"</f>
        <v>#N/A</v>
      </c>
    </row>
    <row r="101" spans="1:9" x14ac:dyDescent="0.25">
      <c r="A101" s="13"/>
      <c r="B101" s="43" t="s">
        <v>197</v>
      </c>
      <c r="D101" s="168" t="e">
        <f>IF($D$22="yes",
$D$18-(VLOOKUP(D100&amp;$D$5,'Retrofit Data - DES'!$D$7:$AE$43,'Retrofit Data - DES'!P$4-2,FALSE)*$D$18),
$D$18-(VLOOKUP(D100&amp;$D$5,'Retrofit Data'!$D$6:$AE$43,'Retrofit Data'!P$4-2,FALSE)*$D$18))</f>
        <v>#N/A</v>
      </c>
      <c r="E101" s="8"/>
      <c r="G101" s="95" t="s">
        <v>7</v>
      </c>
      <c r="H101" s="173" t="e">
        <f>IF(D111&lt;&gt;D112,TEXT(ROUND(MIN(D111:D112),VLOOKUP(ABS(MIN(D111:D112)),$G$30:$H$41,2,TRUE)),"$#,###0") &amp;" to " &amp;TEXT(ROUND(MAX(D111:D112),VLOOKUP(ABS(MAX(D111:D112)),$G$30:$H$41,2,TRUE)),"$#,###0"),TEXT(ROUND(D111,VLOOKUP(D111,$G$30:$H$41,2,TRUE)),"$#,###0")) &amp;"/year"</f>
        <v>#N/A</v>
      </c>
      <c r="I101" s="174" t="e">
        <f>"("&amp;IF(D113=D114,TEXT((MIN(D113:D114)),"#0%"),TEXT((MIN(D113:D114)),"#0%")&amp;" to "&amp;TEXT((MAX(D113:D114)),"#0%"))&amp;")"</f>
        <v>#N/A</v>
      </c>
    </row>
    <row r="102" spans="1:9" x14ac:dyDescent="0.25">
      <c r="A102" s="13"/>
      <c r="B102" s="43" t="s">
        <v>198</v>
      </c>
      <c r="D102" s="168" t="e">
        <f>IF($D$22="Yes",
$D$18-(VLOOKUP(D100&amp;$D$5,'Retrofit Data - DES'!$D$7:$AE$43,'Retrofit Data - DES'!Q$4-2,FALSE)*$D$18),
$D$18-(VLOOKUP(D100&amp;$D$5,'Retrofit Data'!$D$6:$AE$43,'Retrofit Data'!Q$4-2,FALSE)*$D$18))</f>
        <v>#N/A</v>
      </c>
      <c r="E102" s="8"/>
      <c r="G102" s="95" t="s">
        <v>8</v>
      </c>
      <c r="H102" s="173" t="e">
        <f>IF(D115&lt;&gt;D116,TEXT(ROUND(MIN(D115:D116),VLOOKUP(ABS(MIN(D115:D116)),$G$30:$H$41,2,TRUE)),"#,###0")&amp;" to "&amp;TEXT(ROUND(MAX(D115:D116),VLOOKUP(ABS(MAX(D115:D116)),$G$30:$H$41,2,TRUE)),"#,###0")&amp;" kgCO₂e/year",TEXT(ROUND(D115,VLOOKUP(ABS(D115),$G$30:$H$41,2,TRUE)),"#,###0")&amp;" kgCO₂e/year")</f>
        <v>#N/A</v>
      </c>
      <c r="I102" s="174" t="e">
        <f>"("&amp;IF(D117=D118,TEXT((MIN(D117:D118)),"#0%"),TEXT((MIN(D117:D118)),"#0%")&amp;" to "&amp;TEXT((MAX(D117:D118)),"#0%"))&amp;")"</f>
        <v>#N/A</v>
      </c>
    </row>
    <row r="103" spans="1:9" x14ac:dyDescent="0.25">
      <c r="A103" s="13"/>
      <c r="B103" s="43" t="s">
        <v>199</v>
      </c>
      <c r="D103" s="169" t="e">
        <f>IF($D$22="Yes",
$D$21-((VLOOKUP(D100&amp;$D$5,'Retrofit Data - DES'!$D$7:$AE$43,'Retrofit Data - DES'!R$4-2,FALSE)*$D$21)+(VLOOKUP(D100&amp;$D$5,'Retrofit Data - DES'!$D$7:$AE$43,'Retrofit Data - DES'!V$4-2,FALSE)*$D$25)),
$D$21-((VLOOKUP(D100&amp;$D$5,'Retrofit Data'!$D$6:$AE$43,'Retrofit Data'!R$4-2,FALSE)*$D$21)+(VLOOKUP(D100&amp;$D$5,'Retrofit Data'!$D$6:$AE$43,'Retrofit Data'!V$4-2,FALSE)*$D$18)))</f>
        <v>#N/A</v>
      </c>
      <c r="E103" s="21"/>
      <c r="G103" s="95" t="s">
        <v>131</v>
      </c>
      <c r="H103" s="175" t="e">
        <f>VLOOKUP(D100,'Heating System Database'!$C$4:$K$10,VLOOKUP(D5,'Drop Down Database'!$B$3:$C$12,2,FALSE)+4,FALSE)</f>
        <v>#N/A</v>
      </c>
      <c r="I103" s="147"/>
    </row>
    <row r="104" spans="1:9" x14ac:dyDescent="0.25">
      <c r="B104" s="43" t="s">
        <v>200</v>
      </c>
      <c r="D104" s="169" t="e">
        <f>IF($D$22="Yes",
$D$21-((VLOOKUP(D100&amp;$D$5,'Retrofit Data - DES'!$D$7:$AE$43,'Retrofit Data - DES'!S$4-2,FALSE)*$D$21)+(VLOOKUP(D100&amp;$D$5,'Retrofit Data - DES'!$D$7:$AE$43,'Retrofit Data - DES'!W$4-2,FALSE)*$D$25)),
$D$21-((VLOOKUP(D100&amp;$D$5,'Retrofit Data'!$D$6:$AE$43,'Retrofit Data'!S$4-2,FALSE)*$D$21)+(VLOOKUP(D100&amp;$D$5,'Retrofit Data'!$D$6:$AE$43,'Retrofit Data'!W$4-2,FALSE)*$D$18)))</f>
        <v>#N/A</v>
      </c>
      <c r="E104"/>
      <c r="G104" s="95" t="s">
        <v>201</v>
      </c>
      <c r="H104" s="175" t="e">
        <f>VLOOKUP(D100,'Heating System Database'!$C$4:$K$10,VLOOKUP(D5,'Drop Down Database'!$B$3:$C$12,2,FALSE)+6,FALSE)</f>
        <v>#N/A</v>
      </c>
      <c r="I104" s="147"/>
    </row>
    <row r="105" spans="1:9" x14ac:dyDescent="0.25">
      <c r="B105" s="43" t="s">
        <v>244</v>
      </c>
      <c r="D105" s="168" t="e">
        <f>IF($D$22="yes",
$D$25-(VLOOKUP(D100&amp;$D$5,'Retrofit Data - DES'!$D$7:$AE$43,'Retrofit Data - DES'!T$4-2,FALSE)*$D$25),
(VLOOKUP(D100&amp;$D$5,'Retrofit Data'!$D$6:$AE$43,'Retrofit Data'!T$4-2,FALSE)*$D$25*-1))</f>
        <v>#N/A</v>
      </c>
      <c r="E105"/>
      <c r="H105"/>
    </row>
    <row r="106" spans="1:9" x14ac:dyDescent="0.25">
      <c r="B106" s="43" t="s">
        <v>245</v>
      </c>
      <c r="D106" s="168" t="e">
        <f>IF($D$22="yes",
$D$25-(VLOOKUP(D100&amp;$D$5,'Retrofit Data - DES'!$D$7:$AE$43,'Retrofit Data - DES'!U$4-2,FALSE)*$D$25),
(VLOOKUP(D100&amp;$D$5,'Retrofit Data'!$D$6:$AE$43,'Retrofit Data'!U$4-2,FALSE)*$D$25*-1))</f>
        <v>#N/A</v>
      </c>
      <c r="E106"/>
      <c r="H106"/>
    </row>
    <row r="107" spans="1:9" x14ac:dyDescent="0.25">
      <c r="B107" s="43" t="s">
        <v>225</v>
      </c>
      <c r="D107" s="170" t="e">
        <f>D$26-(D101+D103+D105)</f>
        <v>#N/A</v>
      </c>
      <c r="E107"/>
      <c r="H107"/>
    </row>
    <row r="108" spans="1:9" x14ac:dyDescent="0.25">
      <c r="B108" s="43" t="s">
        <v>226</v>
      </c>
      <c r="D108" s="170" t="e">
        <f>D$26-(D102+D104+D106)</f>
        <v>#N/A</v>
      </c>
      <c r="E108"/>
      <c r="H108"/>
    </row>
    <row r="109" spans="1:9" x14ac:dyDescent="0.25">
      <c r="B109" s="43" t="s">
        <v>185</v>
      </c>
      <c r="C109" s="6" t="s">
        <v>44</v>
      </c>
      <c r="D109" s="171" t="e">
        <f>(D108)/$D$26</f>
        <v>#N/A</v>
      </c>
      <c r="E109"/>
      <c r="H109"/>
    </row>
    <row r="110" spans="1:9" x14ac:dyDescent="0.25">
      <c r="B110" s="43" t="s">
        <v>186</v>
      </c>
      <c r="C110" s="6" t="s">
        <v>44</v>
      </c>
      <c r="D110" s="171" t="e">
        <f>(D107)/$D$26</f>
        <v>#N/A</v>
      </c>
      <c r="E110"/>
      <c r="H110"/>
    </row>
    <row r="111" spans="1:9" x14ac:dyDescent="0.25">
      <c r="B111" s="43" t="s">
        <v>202</v>
      </c>
      <c r="D111" s="172" t="e">
        <f>D$52-((MAX(D101)*$D$42)+(MAX(D103)*$D$45)+(MAX(D105)*$D$48))</f>
        <v>#N/A</v>
      </c>
      <c r="E111"/>
      <c r="H111"/>
    </row>
    <row r="112" spans="1:9" x14ac:dyDescent="0.25">
      <c r="B112" s="43" t="s">
        <v>203</v>
      </c>
      <c r="D112" s="172" t="e">
        <f>D$52-((MIN(D102)*$D$42)+(MIN(D104)*$D$45)+(MIN(D106)*$D$48))</f>
        <v>#N/A</v>
      </c>
      <c r="E112"/>
      <c r="H112"/>
    </row>
    <row r="113" spans="2:8" x14ac:dyDescent="0.25">
      <c r="B113" s="43" t="s">
        <v>204</v>
      </c>
      <c r="C113" s="6" t="s">
        <v>44</v>
      </c>
      <c r="D113" s="171" t="e">
        <f>(D112)/$D$52</f>
        <v>#N/A</v>
      </c>
      <c r="E113"/>
      <c r="H113"/>
    </row>
    <row r="114" spans="2:8" x14ac:dyDescent="0.25">
      <c r="B114" s="43" t="s">
        <v>205</v>
      </c>
      <c r="C114" s="5" t="s">
        <v>44</v>
      </c>
      <c r="D114" s="171" t="e">
        <f>(D111)/$D$52</f>
        <v>#N/A</v>
      </c>
      <c r="E114"/>
      <c r="H114"/>
    </row>
    <row r="115" spans="2:8" x14ac:dyDescent="0.25">
      <c r="B115" s="43" t="s">
        <v>209</v>
      </c>
      <c r="C115" s="5"/>
      <c r="D115" s="168" t="e">
        <f>$D$36-((MIN(D101)*$D$29)+(MIN(D103)*$D$30)+(MIN(D105)*IF(ISNUMBER(SEARCH("district",D100)),$D$32,$D$31)))</f>
        <v>#N/A</v>
      </c>
      <c r="E115"/>
      <c r="H115"/>
    </row>
    <row r="116" spans="2:8" x14ac:dyDescent="0.25">
      <c r="B116" s="43" t="s">
        <v>210</v>
      </c>
      <c r="C116" s="5"/>
      <c r="D116" s="168" t="e">
        <f>D$36-((MAX(D102)*$D$29)+(MAX(D104)*$D$30)+(MAX(D106)*IF(ISNUMBER(SEARCH("district",D100)),$D$32,$D$31)))</f>
        <v>#N/A</v>
      </c>
      <c r="E116"/>
      <c r="H116"/>
    </row>
    <row r="117" spans="2:8" x14ac:dyDescent="0.25">
      <c r="B117" s="43" t="s">
        <v>209</v>
      </c>
      <c r="C117" s="5" t="s">
        <v>44</v>
      </c>
      <c r="D117" s="171" t="e">
        <f>(D116)/$D$36</f>
        <v>#N/A</v>
      </c>
      <c r="E117"/>
      <c r="H117"/>
    </row>
    <row r="118" spans="2:8" x14ac:dyDescent="0.25">
      <c r="B118" s="43" t="s">
        <v>210</v>
      </c>
      <c r="C118" s="5" t="s">
        <v>44</v>
      </c>
      <c r="D118" s="171" t="e">
        <f>(D115)/$D$36</f>
        <v>#N/A</v>
      </c>
      <c r="E118"/>
      <c r="H118"/>
    </row>
    <row r="119" spans="2:8" x14ac:dyDescent="0.25">
      <c r="B119" s="43" t="s">
        <v>317</v>
      </c>
      <c r="C119" s="5"/>
      <c r="D119" s="171" t="str">
        <f>IF(D100="No match",VLOOKUP("Empty",'Heating System Database'!$A$4:$D$20,4,FALSE),VLOOKUP($D$4&amp;$D100,'Heating System Database'!$A$4:$D$20,4,FALSE)&amp;VLOOKUP($D$5,'Drop Down Database'!$B$3:$D$12,3,FALSE))</f>
        <v>Empty</v>
      </c>
      <c r="E119"/>
      <c r="H119"/>
    </row>
    <row r="120" spans="2:8" x14ac:dyDescent="0.25">
      <c r="B120"/>
      <c r="C120"/>
      <c r="E120"/>
      <c r="H120"/>
    </row>
    <row r="121" spans="2:8" x14ac:dyDescent="0.25">
      <c r="B121"/>
      <c r="C121"/>
      <c r="E121"/>
      <c r="H121"/>
    </row>
    <row r="122" spans="2:8" x14ac:dyDescent="0.25">
      <c r="B122"/>
      <c r="C122"/>
      <c r="E122"/>
      <c r="H122"/>
    </row>
    <row r="123" spans="2:8" x14ac:dyDescent="0.25">
      <c r="B123"/>
      <c r="C123"/>
      <c r="E123"/>
      <c r="H123"/>
    </row>
    <row r="124" spans="2:8" x14ac:dyDescent="0.25">
      <c r="B124"/>
      <c r="C124"/>
      <c r="E124"/>
      <c r="H124"/>
    </row>
    <row r="125" spans="2:8" x14ac:dyDescent="0.25">
      <c r="B125"/>
      <c r="C125"/>
      <c r="E125"/>
      <c r="H125"/>
    </row>
    <row r="126" spans="2:8" x14ac:dyDescent="0.25">
      <c r="B126"/>
      <c r="C126"/>
      <c r="E126"/>
      <c r="H126"/>
    </row>
    <row r="127" spans="2:8" x14ac:dyDescent="0.25">
      <c r="B127"/>
      <c r="C127"/>
      <c r="E127"/>
      <c r="H127"/>
    </row>
    <row r="128" spans="2:8" x14ac:dyDescent="0.25">
      <c r="B128"/>
      <c r="C128"/>
      <c r="E128"/>
      <c r="H128"/>
    </row>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spans="2:8" x14ac:dyDescent="0.25">
      <c r="B145"/>
      <c r="C145"/>
      <c r="E145"/>
      <c r="H145"/>
    </row>
    <row r="146" spans="2:8" x14ac:dyDescent="0.25">
      <c r="B146"/>
      <c r="C146"/>
      <c r="E146"/>
      <c r="H146"/>
    </row>
    <row r="147" spans="2:8" x14ac:dyDescent="0.25">
      <c r="B147"/>
      <c r="C147"/>
      <c r="E147"/>
      <c r="H147"/>
    </row>
    <row r="148" spans="2:8" x14ac:dyDescent="0.25">
      <c r="B148"/>
      <c r="C148"/>
      <c r="E148"/>
      <c r="H148"/>
    </row>
    <row r="149" spans="2:8" x14ac:dyDescent="0.25">
      <c r="B149"/>
      <c r="C149"/>
      <c r="E149"/>
      <c r="H149"/>
    </row>
    <row r="150" spans="2:8" x14ac:dyDescent="0.25">
      <c r="B150"/>
      <c r="C150"/>
      <c r="E150"/>
      <c r="H150"/>
    </row>
    <row r="151" spans="2:8" x14ac:dyDescent="0.25">
      <c r="B151"/>
      <c r="C151"/>
      <c r="E151"/>
      <c r="H151"/>
    </row>
    <row r="152" spans="2:8" x14ac:dyDescent="0.25">
      <c r="B152"/>
      <c r="C152"/>
      <c r="E152"/>
      <c r="H152"/>
    </row>
    <row r="153" spans="2:8" x14ac:dyDescent="0.25">
      <c r="B153"/>
      <c r="C153"/>
    </row>
    <row r="154" spans="2:8" x14ac:dyDescent="0.25">
      <c r="B154"/>
      <c r="C154"/>
    </row>
    <row r="155" spans="2:8" x14ac:dyDescent="0.25">
      <c r="B155"/>
      <c r="C155"/>
    </row>
    <row r="156" spans="2:8" x14ac:dyDescent="0.25">
      <c r="B156"/>
      <c r="C156"/>
    </row>
  </sheetData>
  <phoneticPr fontId="13" type="noConversion"/>
  <pageMargins left="0.7" right="0.7" top="0.75" bottom="0.75" header="0.3" footer="0.3"/>
  <pageSetup paperSize="9" scale="45"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D434B-BF60-4C3F-A262-8B24C3AB07A0}">
  <sheetPr>
    <tabColor theme="9" tint="0.39997558519241921"/>
  </sheetPr>
  <dimension ref="B2:K65"/>
  <sheetViews>
    <sheetView zoomScale="85" zoomScaleNormal="85" workbookViewId="0">
      <selection activeCell="G68" sqref="G68"/>
    </sheetView>
  </sheetViews>
  <sheetFormatPr defaultRowHeight="15" x14ac:dyDescent="0.25"/>
  <cols>
    <col min="1" max="1" width="3.42578125" customWidth="1"/>
    <col min="2" max="2" width="31.5703125" customWidth="1"/>
    <col min="3" max="4" width="20.140625" customWidth="1"/>
    <col min="7" max="7" width="12" customWidth="1"/>
    <col min="9" max="9" width="22.85546875" customWidth="1"/>
    <col min="10" max="10" width="66.42578125" customWidth="1"/>
    <col min="11" max="11" width="31.5703125" customWidth="1"/>
  </cols>
  <sheetData>
    <row r="2" spans="2:11" x14ac:dyDescent="0.25">
      <c r="B2" s="77" t="s">
        <v>15</v>
      </c>
      <c r="C2" s="77"/>
      <c r="D2" s="77"/>
      <c r="E2" s="78" t="s">
        <v>145</v>
      </c>
      <c r="F2" s="77" t="s">
        <v>146</v>
      </c>
      <c r="G2" s="79" t="s">
        <v>147</v>
      </c>
      <c r="I2" s="79" t="s">
        <v>148</v>
      </c>
      <c r="J2" s="79" t="s">
        <v>148</v>
      </c>
      <c r="K2" s="79" t="s">
        <v>282</v>
      </c>
    </row>
    <row r="3" spans="2:11" x14ac:dyDescent="0.25">
      <c r="B3" s="12" t="str" cm="1">
        <f t="array" ref="B3:B12">_xlfn.UNIQUE(_xlfn._xlws.FILTER('Retrofit Data'!H6:H106,'Retrofit Data'!H6:H106&lt;&gt;""))</f>
        <v>Mid Rise Office</v>
      </c>
      <c r="C3" s="98">
        <v>2</v>
      </c>
      <c r="D3" s="98" t="s">
        <v>312</v>
      </c>
      <c r="E3" s="80" t="s">
        <v>149</v>
      </c>
      <c r="F3" s="2">
        <v>2025</v>
      </c>
      <c r="G3">
        <v>5</v>
      </c>
      <c r="I3" cm="1">
        <f t="array" ref="I3">_xlfn.UNIQUE(_xlfn._xlws.FILTER('Retrofit Data'!F6:F106,'Retrofit Data'!H6:H106='Tool Calc Sheet'!D5,""))</f>
        <v>0</v>
      </c>
      <c r="J3" cm="1">
        <f t="array" ref="J3:J65">_xlfn._xlws.FILTER('Retrofit Data'!E6:E106,'Retrofit Data'!H6:H106='Tool Calc Sheet'!D5,"")</f>
        <v>0</v>
      </c>
      <c r="K3" t="str" cm="1">
        <f t="array" ref="K3:K8">_xlfn._xlws.FILTER('Retrofit Data'!H6:H200,(ISNUMBER(SEARCH("gas",'Retrofit Data'!C6:C200))),"")</f>
        <v>Educational Facility</v>
      </c>
    </row>
    <row r="4" spans="2:11" x14ac:dyDescent="0.25">
      <c r="B4" s="12" t="str">
        <v>Educational Facility</v>
      </c>
      <c r="C4" s="98">
        <v>2</v>
      </c>
      <c r="D4" s="98" t="s">
        <v>312</v>
      </c>
      <c r="E4" s="80" t="s">
        <v>150</v>
      </c>
      <c r="F4" s="2">
        <v>2026</v>
      </c>
      <c r="G4">
        <v>10</v>
      </c>
      <c r="J4">
        <v>0</v>
      </c>
      <c r="K4" t="str">
        <v>Mixed Use</v>
      </c>
    </row>
    <row r="5" spans="2:11" x14ac:dyDescent="0.25">
      <c r="B5" s="12" t="str">
        <v>Big Box Store</v>
      </c>
      <c r="C5" s="99">
        <v>2</v>
      </c>
      <c r="D5" s="98" t="s">
        <v>312</v>
      </c>
      <c r="F5" s="2">
        <v>2027</v>
      </c>
      <c r="G5">
        <v>15</v>
      </c>
      <c r="J5">
        <v>0</v>
      </c>
      <c r="K5" t="str">
        <v>Condominium</v>
      </c>
    </row>
    <row r="6" spans="2:11" x14ac:dyDescent="0.25">
      <c r="B6" s="12" t="str">
        <v>Low Rise Office</v>
      </c>
      <c r="C6" s="99">
        <v>2</v>
      </c>
      <c r="D6" s="98" t="s">
        <v>312</v>
      </c>
      <c r="F6" s="2">
        <v>2028</v>
      </c>
      <c r="G6">
        <v>20</v>
      </c>
      <c r="J6">
        <v>0</v>
      </c>
      <c r="K6" t="str">
        <v>Low Rise Rental Apartment</v>
      </c>
    </row>
    <row r="7" spans="2:11" x14ac:dyDescent="0.25">
      <c r="B7" s="12" t="str">
        <v>Strip Mall</v>
      </c>
      <c r="C7" s="99">
        <v>2</v>
      </c>
      <c r="D7" s="98" t="s">
        <v>312</v>
      </c>
      <c r="F7" s="2">
        <v>2029</v>
      </c>
      <c r="G7">
        <v>25</v>
      </c>
      <c r="J7">
        <v>0</v>
      </c>
      <c r="K7" t="str">
        <v>Single Family Home Attached</v>
      </c>
    </row>
    <row r="8" spans="2:11" x14ac:dyDescent="0.25">
      <c r="B8" s="12" t="str">
        <v>Mixed Use</v>
      </c>
      <c r="C8" s="99">
        <v>2</v>
      </c>
      <c r="D8" s="98" t="s">
        <v>312</v>
      </c>
      <c r="F8" s="2">
        <v>2030</v>
      </c>
      <c r="G8">
        <v>30</v>
      </c>
      <c r="J8">
        <v>0</v>
      </c>
      <c r="K8" t="str">
        <v>Single Family Home Detached</v>
      </c>
    </row>
    <row r="9" spans="2:11" x14ac:dyDescent="0.25">
      <c r="B9" s="12" t="str">
        <v>Condominium</v>
      </c>
      <c r="C9" s="99">
        <v>2</v>
      </c>
      <c r="D9" s="98" t="s">
        <v>312</v>
      </c>
      <c r="F9" s="2">
        <v>2031</v>
      </c>
      <c r="J9">
        <v>0</v>
      </c>
    </row>
    <row r="10" spans="2:11" x14ac:dyDescent="0.25">
      <c r="B10" s="12" t="str">
        <v>Low Rise Rental Apartment</v>
      </c>
      <c r="C10" s="99">
        <v>2</v>
      </c>
      <c r="D10" s="98" t="s">
        <v>312</v>
      </c>
      <c r="F10" s="2">
        <v>2032</v>
      </c>
      <c r="J10">
        <v>0</v>
      </c>
    </row>
    <row r="11" spans="2:11" x14ac:dyDescent="0.25">
      <c r="B11" s="12" t="str">
        <v>Single Family Home Attached</v>
      </c>
      <c r="C11" s="99">
        <v>1</v>
      </c>
      <c r="D11" s="99" t="s">
        <v>313</v>
      </c>
      <c r="F11" s="2">
        <v>2033</v>
      </c>
      <c r="J11">
        <v>0</v>
      </c>
    </row>
    <row r="12" spans="2:11" x14ac:dyDescent="0.25">
      <c r="B12" s="12" t="str">
        <v>Single Family Home Detached</v>
      </c>
      <c r="C12" s="99">
        <v>1</v>
      </c>
      <c r="D12" s="99" t="s">
        <v>313</v>
      </c>
      <c r="F12" s="2">
        <v>2034</v>
      </c>
      <c r="J12">
        <v>0</v>
      </c>
    </row>
    <row r="13" spans="2:11" x14ac:dyDescent="0.25">
      <c r="F13" s="2">
        <v>2035</v>
      </c>
      <c r="J13">
        <v>0</v>
      </c>
    </row>
    <row r="14" spans="2:11" x14ac:dyDescent="0.25">
      <c r="F14" s="2">
        <v>2036</v>
      </c>
      <c r="J14">
        <v>0</v>
      </c>
    </row>
    <row r="15" spans="2:11" x14ac:dyDescent="0.25">
      <c r="F15" s="2">
        <v>2037</v>
      </c>
      <c r="J15">
        <v>0</v>
      </c>
    </row>
    <row r="16" spans="2:11" x14ac:dyDescent="0.25">
      <c r="F16" s="2">
        <v>2038</v>
      </c>
      <c r="J16">
        <v>0</v>
      </c>
    </row>
    <row r="17" spans="6:10" x14ac:dyDescent="0.25">
      <c r="F17" s="2">
        <v>2039</v>
      </c>
      <c r="J17">
        <v>0</v>
      </c>
    </row>
    <row r="18" spans="6:10" x14ac:dyDescent="0.25">
      <c r="F18" s="2">
        <v>2040</v>
      </c>
      <c r="J18">
        <v>0</v>
      </c>
    </row>
    <row r="19" spans="6:10" x14ac:dyDescent="0.25">
      <c r="F19" s="2">
        <v>2041</v>
      </c>
      <c r="J19">
        <v>0</v>
      </c>
    </row>
    <row r="20" spans="6:10" x14ac:dyDescent="0.25">
      <c r="F20" s="2">
        <v>2042</v>
      </c>
      <c r="J20">
        <v>0</v>
      </c>
    </row>
    <row r="21" spans="6:10" x14ac:dyDescent="0.25">
      <c r="F21" s="2">
        <v>2043</v>
      </c>
      <c r="J21">
        <v>0</v>
      </c>
    </row>
    <row r="22" spans="6:10" x14ac:dyDescent="0.25">
      <c r="F22" s="2">
        <v>2044</v>
      </c>
      <c r="J22">
        <v>0</v>
      </c>
    </row>
    <row r="23" spans="6:10" x14ac:dyDescent="0.25">
      <c r="F23" s="2">
        <v>2045</v>
      </c>
      <c r="J23">
        <v>0</v>
      </c>
    </row>
    <row r="24" spans="6:10" x14ac:dyDescent="0.25">
      <c r="F24" s="2">
        <v>2046</v>
      </c>
      <c r="J24">
        <v>0</v>
      </c>
    </row>
    <row r="25" spans="6:10" x14ac:dyDescent="0.25">
      <c r="F25" s="2">
        <v>2047</v>
      </c>
      <c r="J25">
        <v>0</v>
      </c>
    </row>
    <row r="26" spans="6:10" x14ac:dyDescent="0.25">
      <c r="F26" s="2">
        <v>2048</v>
      </c>
      <c r="J26">
        <v>0</v>
      </c>
    </row>
    <row r="27" spans="6:10" x14ac:dyDescent="0.25">
      <c r="F27" s="2">
        <v>2049</v>
      </c>
      <c r="J27">
        <v>0</v>
      </c>
    </row>
    <row r="28" spans="6:10" x14ac:dyDescent="0.25">
      <c r="F28" s="2">
        <v>2050</v>
      </c>
      <c r="J28">
        <v>0</v>
      </c>
    </row>
    <row r="29" spans="6:10" x14ac:dyDescent="0.25">
      <c r="F29" s="2"/>
      <c r="J29">
        <v>0</v>
      </c>
    </row>
    <row r="30" spans="6:10" x14ac:dyDescent="0.25">
      <c r="J30">
        <v>0</v>
      </c>
    </row>
    <row r="31" spans="6:10" x14ac:dyDescent="0.25">
      <c r="J31">
        <v>0</v>
      </c>
    </row>
    <row r="32" spans="6:10" x14ac:dyDescent="0.25">
      <c r="J32">
        <v>0</v>
      </c>
    </row>
    <row r="33" spans="10:10" x14ac:dyDescent="0.25">
      <c r="J33">
        <v>0</v>
      </c>
    </row>
    <row r="34" spans="10:10" x14ac:dyDescent="0.25">
      <c r="J34">
        <v>0</v>
      </c>
    </row>
    <row r="35" spans="10:10" x14ac:dyDescent="0.25">
      <c r="J35">
        <v>0</v>
      </c>
    </row>
    <row r="36" spans="10:10" x14ac:dyDescent="0.25">
      <c r="J36">
        <v>0</v>
      </c>
    </row>
    <row r="37" spans="10:10" x14ac:dyDescent="0.25">
      <c r="J37">
        <v>0</v>
      </c>
    </row>
    <row r="38" spans="10:10" x14ac:dyDescent="0.25">
      <c r="J38">
        <v>0</v>
      </c>
    </row>
    <row r="39" spans="10:10" x14ac:dyDescent="0.25">
      <c r="J39">
        <v>0</v>
      </c>
    </row>
    <row r="40" spans="10:10" x14ac:dyDescent="0.25">
      <c r="J40">
        <v>0</v>
      </c>
    </row>
    <row r="41" spans="10:10" x14ac:dyDescent="0.25">
      <c r="J41">
        <v>0</v>
      </c>
    </row>
    <row r="42" spans="10:10" x14ac:dyDescent="0.25">
      <c r="J42">
        <v>0</v>
      </c>
    </row>
    <row r="43" spans="10:10" x14ac:dyDescent="0.25">
      <c r="J43">
        <v>0</v>
      </c>
    </row>
    <row r="44" spans="10:10" x14ac:dyDescent="0.25">
      <c r="J44">
        <v>0</v>
      </c>
    </row>
    <row r="45" spans="10:10" x14ac:dyDescent="0.25">
      <c r="J45">
        <v>0</v>
      </c>
    </row>
    <row r="46" spans="10:10" x14ac:dyDescent="0.25">
      <c r="J46">
        <v>0</v>
      </c>
    </row>
    <row r="47" spans="10:10" x14ac:dyDescent="0.25">
      <c r="J47">
        <v>0</v>
      </c>
    </row>
    <row r="48" spans="10:10" x14ac:dyDescent="0.25">
      <c r="J48">
        <v>0</v>
      </c>
    </row>
    <row r="49" spans="10:10" x14ac:dyDescent="0.25">
      <c r="J49">
        <v>0</v>
      </c>
    </row>
    <row r="50" spans="10:10" x14ac:dyDescent="0.25">
      <c r="J50">
        <v>0</v>
      </c>
    </row>
    <row r="51" spans="10:10" x14ac:dyDescent="0.25">
      <c r="J51">
        <v>0</v>
      </c>
    </row>
    <row r="52" spans="10:10" x14ac:dyDescent="0.25">
      <c r="J52">
        <v>0</v>
      </c>
    </row>
    <row r="53" spans="10:10" x14ac:dyDescent="0.25">
      <c r="J53">
        <v>0</v>
      </c>
    </row>
    <row r="54" spans="10:10" x14ac:dyDescent="0.25">
      <c r="J54">
        <v>0</v>
      </c>
    </row>
    <row r="55" spans="10:10" x14ac:dyDescent="0.25">
      <c r="J55">
        <v>0</v>
      </c>
    </row>
    <row r="56" spans="10:10" x14ac:dyDescent="0.25">
      <c r="J56">
        <v>0</v>
      </c>
    </row>
    <row r="57" spans="10:10" x14ac:dyDescent="0.25">
      <c r="J57">
        <v>0</v>
      </c>
    </row>
    <row r="58" spans="10:10" x14ac:dyDescent="0.25">
      <c r="J58">
        <v>0</v>
      </c>
    </row>
    <row r="59" spans="10:10" x14ac:dyDescent="0.25">
      <c r="J59">
        <v>0</v>
      </c>
    </row>
    <row r="60" spans="10:10" x14ac:dyDescent="0.25">
      <c r="J60">
        <v>0</v>
      </c>
    </row>
    <row r="61" spans="10:10" x14ac:dyDescent="0.25">
      <c r="J61">
        <v>0</v>
      </c>
    </row>
    <row r="62" spans="10:10" x14ac:dyDescent="0.25">
      <c r="J62">
        <v>0</v>
      </c>
    </row>
    <row r="63" spans="10:10" x14ac:dyDescent="0.25">
      <c r="J63">
        <v>0</v>
      </c>
    </row>
    <row r="64" spans="10:10" x14ac:dyDescent="0.25">
      <c r="J64">
        <v>0</v>
      </c>
    </row>
    <row r="65" spans="10:10" x14ac:dyDescent="0.25">
      <c r="J65">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FC31-24AE-4516-99ED-15DAE6DDE2A8}">
  <sheetPr>
    <tabColor theme="9" tint="0.39997558519241921"/>
  </sheetPr>
  <dimension ref="A1:J13"/>
  <sheetViews>
    <sheetView topLeftCell="B1" zoomScale="70" zoomScaleNormal="70" workbookViewId="0">
      <selection activeCell="G68" sqref="G68"/>
    </sheetView>
  </sheetViews>
  <sheetFormatPr defaultRowHeight="15" x14ac:dyDescent="0.25"/>
  <cols>
    <col min="1" max="1" width="44.140625" bestFit="1" customWidth="1"/>
    <col min="2" max="2" width="27.140625" customWidth="1"/>
    <col min="3" max="3" width="57.42578125" bestFit="1" customWidth="1"/>
    <col min="4" max="4" width="18.7109375" bestFit="1" customWidth="1"/>
    <col min="5" max="6" width="56.42578125" customWidth="1"/>
    <col min="7" max="7" width="52.140625" customWidth="1"/>
    <col min="8" max="8" width="23" customWidth="1"/>
    <col min="9" max="9" width="34.7109375" customWidth="1"/>
    <col min="10" max="10" width="57.42578125" bestFit="1" customWidth="1"/>
  </cols>
  <sheetData>
    <row r="1" spans="1:10" ht="65.25" customHeight="1" x14ac:dyDescent="0.25"/>
    <row r="3" spans="1:10" x14ac:dyDescent="0.25">
      <c r="A3" s="108" t="s">
        <v>229</v>
      </c>
      <c r="B3" s="108" t="s">
        <v>73</v>
      </c>
      <c r="C3" s="108" t="s">
        <v>230</v>
      </c>
      <c r="D3" s="74" t="s">
        <v>316</v>
      </c>
      <c r="E3" s="74" t="s">
        <v>232</v>
      </c>
      <c r="F3" s="74" t="s">
        <v>233</v>
      </c>
      <c r="G3" s="108" t="s">
        <v>234</v>
      </c>
      <c r="H3" s="108" t="s">
        <v>235</v>
      </c>
      <c r="I3" s="108" t="s">
        <v>231</v>
      </c>
      <c r="J3" s="108" t="s">
        <v>223</v>
      </c>
    </row>
    <row r="4" spans="1:10" ht="177" customHeight="1" x14ac:dyDescent="0.25">
      <c r="A4" t="str">
        <f>B4&amp;C4</f>
        <v>Domestic Hot WaterElectric water heaters</v>
      </c>
      <c r="B4" t="s">
        <v>85</v>
      </c>
      <c r="C4" s="46" t="s">
        <v>104</v>
      </c>
      <c r="D4" t="s">
        <v>314</v>
      </c>
      <c r="E4" s="200"/>
      <c r="F4" s="200"/>
      <c r="G4" s="109" t="s">
        <v>241</v>
      </c>
      <c r="H4" s="109" t="s">
        <v>241</v>
      </c>
      <c r="I4" t="s">
        <v>224</v>
      </c>
      <c r="J4" t="s">
        <v>224</v>
      </c>
    </row>
    <row r="5" spans="1:10" ht="177" customHeight="1" x14ac:dyDescent="0.25">
      <c r="A5" t="str">
        <f t="shared" ref="A5:A10" si="0">B5&amp;C5</f>
        <v>Domestic Hot WaterHeat Pump Water Heaters</v>
      </c>
      <c r="B5" t="s">
        <v>85</v>
      </c>
      <c r="C5" s="46" t="s">
        <v>193</v>
      </c>
      <c r="D5" t="s">
        <v>315</v>
      </c>
      <c r="E5" s="200"/>
      <c r="F5" s="200"/>
      <c r="G5" s="109" t="s">
        <v>238</v>
      </c>
      <c r="H5" s="109" t="s">
        <v>238</v>
      </c>
      <c r="I5" t="s">
        <v>224</v>
      </c>
      <c r="J5" t="s">
        <v>224</v>
      </c>
    </row>
    <row r="6" spans="1:10" ht="177" customHeight="1" x14ac:dyDescent="0.25">
      <c r="A6" t="str">
        <f t="shared" si="0"/>
        <v>Gas AppliancesElectric and Induction Ranges &amp; Heat Pump Electric Dryers</v>
      </c>
      <c r="B6" t="s">
        <v>100</v>
      </c>
      <c r="C6" t="s">
        <v>195</v>
      </c>
      <c r="D6" t="s">
        <v>319</v>
      </c>
      <c r="E6" s="200"/>
      <c r="F6" s="200"/>
      <c r="G6" s="109" t="s">
        <v>240</v>
      </c>
      <c r="H6" s="109" t="s">
        <v>240</v>
      </c>
      <c r="I6" t="s">
        <v>222</v>
      </c>
      <c r="J6" t="s">
        <v>222</v>
      </c>
    </row>
    <row r="7" spans="1:10" ht="177" customHeight="1" x14ac:dyDescent="0.25">
      <c r="A7" t="str">
        <f t="shared" si="0"/>
        <v>Gas AppliancesElectric and Induction Ranges</v>
      </c>
      <c r="B7" t="s">
        <v>100</v>
      </c>
      <c r="C7" t="s">
        <v>194</v>
      </c>
      <c r="D7" t="s">
        <v>321</v>
      </c>
      <c r="E7" s="200"/>
      <c r="F7" s="200"/>
      <c r="G7" s="109" t="s">
        <v>242</v>
      </c>
      <c r="H7" s="109" t="s">
        <v>242</v>
      </c>
      <c r="I7" t="s">
        <v>222</v>
      </c>
      <c r="J7" t="s">
        <v>222</v>
      </c>
    </row>
    <row r="8" spans="1:10" ht="177" customHeight="1" x14ac:dyDescent="0.25">
      <c r="A8" t="str">
        <f t="shared" si="0"/>
        <v>Heating SystemAir source heat pumps</v>
      </c>
      <c r="B8" t="s">
        <v>89</v>
      </c>
      <c r="C8" s="46" t="s">
        <v>94</v>
      </c>
      <c r="D8" t="s">
        <v>320</v>
      </c>
      <c r="E8" s="200"/>
      <c r="F8" s="200"/>
      <c r="G8" s="109" t="s">
        <v>280</v>
      </c>
      <c r="H8" s="109" t="s">
        <v>243</v>
      </c>
      <c r="I8" t="s">
        <v>220</v>
      </c>
      <c r="J8" t="s">
        <v>221</v>
      </c>
    </row>
    <row r="9" spans="1:10" ht="177" customHeight="1" x14ac:dyDescent="0.25">
      <c r="A9" t="str">
        <f t="shared" si="0"/>
        <v>Heating SystemLow Carbon District Energy System</v>
      </c>
      <c r="B9" t="s">
        <v>89</v>
      </c>
      <c r="C9" s="46" t="s">
        <v>300</v>
      </c>
      <c r="D9" t="s">
        <v>322</v>
      </c>
      <c r="E9" s="200"/>
      <c r="F9" s="200"/>
      <c r="G9" s="109" t="s">
        <v>237</v>
      </c>
      <c r="H9" s="109" t="s">
        <v>237</v>
      </c>
      <c r="I9" t="s">
        <v>260</v>
      </c>
      <c r="J9" t="s">
        <v>260</v>
      </c>
    </row>
    <row r="10" spans="1:10" ht="177" customHeight="1" x14ac:dyDescent="0.25">
      <c r="A10" t="str">
        <f t="shared" si="0"/>
        <v>Heating SystemGround Source Heat Pumps</v>
      </c>
      <c r="B10" t="s">
        <v>89</v>
      </c>
      <c r="C10" s="46" t="s">
        <v>130</v>
      </c>
      <c r="D10" t="s">
        <v>323</v>
      </c>
      <c r="E10" s="201"/>
      <c r="F10" s="201"/>
      <c r="G10" s="109" t="s">
        <v>236</v>
      </c>
      <c r="H10" s="109" t="s">
        <v>236</v>
      </c>
      <c r="I10" t="s">
        <v>219</v>
      </c>
      <c r="J10" t="s">
        <v>219</v>
      </c>
    </row>
    <row r="11" spans="1:10" ht="177" customHeight="1" x14ac:dyDescent="0.25">
      <c r="A11" t="s">
        <v>318</v>
      </c>
      <c r="D11" t="s">
        <v>318</v>
      </c>
      <c r="E11" s="203"/>
      <c r="F11" s="203"/>
    </row>
    <row r="12" spans="1:10" x14ac:dyDescent="0.25">
      <c r="E12" s="202"/>
      <c r="F12" s="202"/>
    </row>
    <row r="13" spans="1:10" x14ac:dyDescent="0.25">
      <c r="E13" s="200"/>
      <c r="F13" s="200"/>
    </row>
  </sheetData>
  <sortState xmlns:xlrd2="http://schemas.microsoft.com/office/spreadsheetml/2017/richdata2" ref="B4:D10">
    <sortCondition ref="B4:B10"/>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2C673-8EEE-4AC9-A6CD-942729534E75}">
  <sheetPr>
    <tabColor theme="9" tint="0.39997558519241921"/>
    <pageSetUpPr fitToPage="1"/>
  </sheetPr>
  <dimension ref="B2:H19"/>
  <sheetViews>
    <sheetView workbookViewId="0">
      <selection activeCell="G68" sqref="G68"/>
    </sheetView>
  </sheetViews>
  <sheetFormatPr defaultRowHeight="15" x14ac:dyDescent="0.25"/>
  <cols>
    <col min="2" max="3" width="28.140625" customWidth="1"/>
    <col min="4" max="4" width="24.140625" customWidth="1"/>
    <col min="5" max="5" width="24.42578125" bestFit="1" customWidth="1"/>
    <col min="6" max="6" width="25.7109375" customWidth="1"/>
    <col min="7" max="7" width="49.42578125" customWidth="1"/>
  </cols>
  <sheetData>
    <row r="2" spans="2:8" ht="18.75" x14ac:dyDescent="0.3">
      <c r="B2" s="72" t="s">
        <v>138</v>
      </c>
      <c r="C2" s="72"/>
    </row>
    <row r="3" spans="2:8" x14ac:dyDescent="0.25">
      <c r="B3" t="s">
        <v>299</v>
      </c>
    </row>
    <row r="5" spans="2:8" x14ac:dyDescent="0.25">
      <c r="B5" s="73" t="s">
        <v>15</v>
      </c>
      <c r="C5" s="74" t="s">
        <v>139</v>
      </c>
      <c r="D5" s="73" t="s">
        <v>140</v>
      </c>
      <c r="E5" s="73" t="s">
        <v>141</v>
      </c>
      <c r="F5" s="73" t="s">
        <v>142</v>
      </c>
      <c r="G5" s="144" t="s">
        <v>262</v>
      </c>
    </row>
    <row r="6" spans="2:8" x14ac:dyDescent="0.25">
      <c r="B6" s="75" t="s">
        <v>143</v>
      </c>
      <c r="C6" s="75">
        <v>0</v>
      </c>
      <c r="D6" s="75">
        <v>0</v>
      </c>
      <c r="E6" s="75">
        <v>0</v>
      </c>
      <c r="F6" s="75">
        <v>0</v>
      </c>
      <c r="G6" s="145"/>
    </row>
    <row r="7" spans="2:8" x14ac:dyDescent="0.25">
      <c r="B7" s="12" t="s">
        <v>45</v>
      </c>
      <c r="C7" s="12">
        <v>14</v>
      </c>
      <c r="D7" s="44">
        <v>270</v>
      </c>
      <c r="E7" s="44">
        <v>219</v>
      </c>
      <c r="F7" s="44">
        <v>489</v>
      </c>
      <c r="G7" s="146" t="s">
        <v>263</v>
      </c>
    </row>
    <row r="8" spans="2:8" x14ac:dyDescent="0.25">
      <c r="B8" s="12" t="s">
        <v>144</v>
      </c>
      <c r="C8" s="12">
        <v>4</v>
      </c>
      <c r="D8" s="44">
        <v>201</v>
      </c>
      <c r="E8" s="44">
        <v>284</v>
      </c>
      <c r="F8" s="44">
        <v>485</v>
      </c>
      <c r="G8" s="146" t="s">
        <v>264</v>
      </c>
    </row>
    <row r="9" spans="2:8" x14ac:dyDescent="0.25">
      <c r="B9" s="12" t="s">
        <v>50</v>
      </c>
      <c r="C9" s="12">
        <v>13</v>
      </c>
      <c r="D9" s="44">
        <v>159</v>
      </c>
      <c r="E9" s="44">
        <v>231</v>
      </c>
      <c r="F9" s="44">
        <v>389</v>
      </c>
      <c r="G9" s="146" t="s">
        <v>265</v>
      </c>
    </row>
    <row r="10" spans="2:8" x14ac:dyDescent="0.25">
      <c r="B10" s="12" t="s">
        <v>63</v>
      </c>
      <c r="C10" s="12">
        <v>10</v>
      </c>
      <c r="D10" s="44">
        <v>149</v>
      </c>
      <c r="E10" s="44">
        <v>204</v>
      </c>
      <c r="F10" s="44">
        <v>353</v>
      </c>
      <c r="G10" s="146" t="s">
        <v>266</v>
      </c>
    </row>
    <row r="11" spans="2:8" x14ac:dyDescent="0.25">
      <c r="B11" s="12" t="s">
        <v>51</v>
      </c>
      <c r="C11" s="12">
        <v>7</v>
      </c>
      <c r="D11" s="44">
        <v>127</v>
      </c>
      <c r="E11" s="44">
        <v>248</v>
      </c>
      <c r="F11" s="44">
        <v>375</v>
      </c>
      <c r="G11" s="146" t="s">
        <v>267</v>
      </c>
    </row>
    <row r="12" spans="2:8" x14ac:dyDescent="0.25">
      <c r="B12" s="12" t="s">
        <v>58</v>
      </c>
      <c r="C12" s="12">
        <v>30</v>
      </c>
      <c r="D12" s="44">
        <v>147</v>
      </c>
      <c r="E12" s="44">
        <v>43</v>
      </c>
      <c r="F12" s="44">
        <f>SUM(D12:E12)</f>
        <v>190</v>
      </c>
      <c r="G12" s="146" t="s">
        <v>268</v>
      </c>
      <c r="H12" s="76"/>
    </row>
    <row r="13" spans="2:8" x14ac:dyDescent="0.25">
      <c r="B13" s="12" t="s">
        <v>60</v>
      </c>
      <c r="C13" s="12">
        <v>23</v>
      </c>
      <c r="D13" s="44">
        <v>203</v>
      </c>
      <c r="E13" s="44">
        <v>38</v>
      </c>
      <c r="F13" s="44">
        <f>SUM(D13:E13)</f>
        <v>241</v>
      </c>
      <c r="G13" s="146" t="s">
        <v>269</v>
      </c>
      <c r="H13" s="76"/>
    </row>
    <row r="14" spans="2:8" x14ac:dyDescent="0.25">
      <c r="B14" s="12" t="s">
        <v>57</v>
      </c>
      <c r="C14" s="12">
        <v>8</v>
      </c>
      <c r="D14" s="44">
        <v>234</v>
      </c>
      <c r="E14" s="44">
        <v>107</v>
      </c>
      <c r="F14" s="44">
        <v>341</v>
      </c>
      <c r="G14" s="146" t="s">
        <v>270</v>
      </c>
    </row>
    <row r="15" spans="2:8" x14ac:dyDescent="0.25">
      <c r="B15" s="12" t="s">
        <v>54</v>
      </c>
      <c r="C15" s="12">
        <v>12</v>
      </c>
      <c r="D15" s="44">
        <v>215</v>
      </c>
      <c r="E15" s="44">
        <v>93</v>
      </c>
      <c r="F15" s="44">
        <v>308</v>
      </c>
      <c r="G15" s="146" t="s">
        <v>271</v>
      </c>
    </row>
    <row r="16" spans="2:8" x14ac:dyDescent="0.25">
      <c r="B16" s="12" t="s">
        <v>1</v>
      </c>
      <c r="C16" s="12">
        <v>22</v>
      </c>
      <c r="D16" s="44">
        <v>268</v>
      </c>
      <c r="E16" s="44">
        <v>322</v>
      </c>
      <c r="F16" s="44">
        <v>590</v>
      </c>
      <c r="G16" s="146" t="s">
        <v>272</v>
      </c>
    </row>
    <row r="19" spans="2:2" x14ac:dyDescent="0.25">
      <c r="B19" s="99"/>
    </row>
  </sheetData>
  <pageMargins left="0.7" right="0.7" top="0.75" bottom="0.75" header="0.3" footer="0.3"/>
  <pageSetup paperSize="9"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2931-1ECD-4DEF-8DD1-9B30080A0F77}">
  <sheetPr>
    <tabColor theme="9" tint="0.39997558519241921"/>
  </sheetPr>
  <dimension ref="B4:DH60"/>
  <sheetViews>
    <sheetView topLeftCell="A4" zoomScale="130" zoomScaleNormal="130" workbookViewId="0">
      <pane xSplit="8" ySplit="2" topLeftCell="I7" activePane="bottomRight" state="frozen"/>
      <selection activeCell="G68" sqref="G68"/>
      <selection pane="topRight" activeCell="G68" sqref="G68"/>
      <selection pane="bottomLeft" activeCell="G68" sqref="G68"/>
      <selection pane="bottomRight" activeCell="G68" sqref="G68"/>
    </sheetView>
  </sheetViews>
  <sheetFormatPr defaultRowHeight="14.25" x14ac:dyDescent="0.2"/>
  <cols>
    <col min="1" max="1" width="9.140625" style="81"/>
    <col min="2" max="2" width="13.28515625" style="81" customWidth="1"/>
    <col min="3" max="3" width="9.28515625" style="81" customWidth="1"/>
    <col min="4" max="4" width="13.28515625" style="81" customWidth="1"/>
    <col min="5" max="7" width="28.7109375" style="81" customWidth="1"/>
    <col min="8" max="8" width="18.28515625" style="81" customWidth="1"/>
    <col min="9" max="10" width="9.42578125" style="81" hidden="1" customWidth="1"/>
    <col min="11" max="15" width="9.42578125" style="82" hidden="1" customWidth="1"/>
    <col min="16" max="19" width="9.42578125" style="82" customWidth="1"/>
    <col min="20" max="21" width="9.42578125" style="83" customWidth="1"/>
    <col min="22" max="23" width="9.42578125" style="81" customWidth="1"/>
    <col min="24" max="31" width="9.42578125" style="81" hidden="1" customWidth="1"/>
    <col min="32" max="16384" width="9.140625" style="81"/>
  </cols>
  <sheetData>
    <row r="4" spans="2:112" x14ac:dyDescent="0.2">
      <c r="B4" s="81" cm="1">
        <f t="array" ref="B4:DH4">COLUMN(B4:DH4)-1</f>
        <v>1</v>
      </c>
      <c r="C4" s="81">
        <v>2</v>
      </c>
      <c r="D4" s="81">
        <v>3</v>
      </c>
      <c r="E4" s="81">
        <v>4</v>
      </c>
      <c r="F4" s="81">
        <v>5</v>
      </c>
      <c r="G4" s="81">
        <v>6</v>
      </c>
      <c r="H4" s="81">
        <v>7</v>
      </c>
      <c r="I4" s="81">
        <v>8</v>
      </c>
      <c r="J4" s="81">
        <v>9</v>
      </c>
      <c r="K4" s="82">
        <v>10</v>
      </c>
      <c r="L4" s="82">
        <v>11</v>
      </c>
      <c r="M4" s="82">
        <v>12</v>
      </c>
      <c r="N4" s="82">
        <v>13</v>
      </c>
      <c r="O4" s="82">
        <v>14</v>
      </c>
      <c r="P4" s="82">
        <v>15</v>
      </c>
      <c r="Q4" s="82">
        <v>16</v>
      </c>
      <c r="R4" s="82">
        <v>17</v>
      </c>
      <c r="S4" s="82">
        <v>18</v>
      </c>
      <c r="T4" s="83">
        <v>19</v>
      </c>
      <c r="U4" s="83">
        <v>20</v>
      </c>
      <c r="V4" s="81">
        <v>21</v>
      </c>
      <c r="W4" s="81">
        <v>22</v>
      </c>
      <c r="X4" s="81">
        <v>23</v>
      </c>
      <c r="Y4" s="81">
        <v>24</v>
      </c>
      <c r="Z4" s="81">
        <v>25</v>
      </c>
      <c r="AA4" s="81">
        <v>26</v>
      </c>
      <c r="AB4" s="81">
        <v>27</v>
      </c>
      <c r="AC4" s="81">
        <v>28</v>
      </c>
      <c r="AD4" s="81">
        <v>29</v>
      </c>
      <c r="AE4" s="81">
        <v>30</v>
      </c>
      <c r="AF4" s="81">
        <v>31</v>
      </c>
      <c r="AG4" s="81">
        <v>32</v>
      </c>
      <c r="AH4" s="81">
        <v>33</v>
      </c>
      <c r="AI4" s="81">
        <v>34</v>
      </c>
      <c r="AJ4" s="81">
        <v>35</v>
      </c>
      <c r="AK4" s="81">
        <v>36</v>
      </c>
      <c r="AL4" s="81">
        <v>37</v>
      </c>
      <c r="AM4" s="81">
        <v>38</v>
      </c>
      <c r="AN4" s="81">
        <v>39</v>
      </c>
      <c r="AO4" s="81">
        <v>40</v>
      </c>
      <c r="AP4" s="81">
        <v>41</v>
      </c>
      <c r="AQ4" s="81">
        <v>42</v>
      </c>
      <c r="AR4" s="81">
        <v>43</v>
      </c>
      <c r="AS4" s="81">
        <v>44</v>
      </c>
      <c r="AT4" s="81">
        <v>45</v>
      </c>
      <c r="AU4" s="81">
        <v>46</v>
      </c>
      <c r="AV4" s="81">
        <v>47</v>
      </c>
      <c r="AW4" s="81">
        <v>48</v>
      </c>
      <c r="AX4" s="81">
        <v>49</v>
      </c>
      <c r="AY4" s="81">
        <v>50</v>
      </c>
      <c r="AZ4" s="81">
        <v>51</v>
      </c>
      <c r="BA4" s="81">
        <v>52</v>
      </c>
      <c r="BB4" s="81">
        <v>53</v>
      </c>
      <c r="BC4" s="81">
        <v>54</v>
      </c>
      <c r="BD4" s="81">
        <v>55</v>
      </c>
      <c r="BE4" s="81">
        <v>56</v>
      </c>
      <c r="BF4" s="81">
        <v>57</v>
      </c>
      <c r="BG4" s="81">
        <v>58</v>
      </c>
      <c r="BH4" s="81">
        <v>59</v>
      </c>
      <c r="BI4" s="81">
        <v>60</v>
      </c>
      <c r="BJ4" s="81">
        <v>61</v>
      </c>
      <c r="BK4" s="81">
        <v>62</v>
      </c>
      <c r="BL4" s="81">
        <v>63</v>
      </c>
      <c r="BM4" s="81">
        <v>64</v>
      </c>
      <c r="BN4" s="81">
        <v>65</v>
      </c>
      <c r="BO4" s="81">
        <v>66</v>
      </c>
      <c r="BP4" s="81">
        <v>67</v>
      </c>
      <c r="BQ4" s="81">
        <v>68</v>
      </c>
      <c r="BR4" s="81">
        <v>69</v>
      </c>
      <c r="BS4" s="81">
        <v>70</v>
      </c>
      <c r="BT4" s="81">
        <v>71</v>
      </c>
      <c r="BU4" s="81">
        <v>72</v>
      </c>
      <c r="BV4" s="81">
        <v>73</v>
      </c>
      <c r="BW4" s="81">
        <v>74</v>
      </c>
      <c r="BX4" s="81">
        <v>75</v>
      </c>
      <c r="BY4" s="81">
        <v>76</v>
      </c>
      <c r="BZ4" s="81">
        <v>77</v>
      </c>
      <c r="CA4" s="81">
        <v>78</v>
      </c>
      <c r="CB4" s="81">
        <v>79</v>
      </c>
      <c r="CC4" s="81">
        <v>80</v>
      </c>
      <c r="CD4" s="81">
        <v>81</v>
      </c>
      <c r="CE4" s="81">
        <v>82</v>
      </c>
      <c r="CF4" s="81">
        <v>83</v>
      </c>
      <c r="CG4" s="81">
        <v>84</v>
      </c>
      <c r="CH4" s="81">
        <v>85</v>
      </c>
      <c r="CI4" s="81">
        <v>86</v>
      </c>
      <c r="CJ4" s="81">
        <v>87</v>
      </c>
      <c r="CK4" s="81">
        <v>88</v>
      </c>
      <c r="CL4" s="81">
        <v>89</v>
      </c>
      <c r="CM4" s="81">
        <v>90</v>
      </c>
      <c r="CN4" s="81">
        <v>91</v>
      </c>
      <c r="CO4" s="81">
        <v>92</v>
      </c>
      <c r="CP4" s="81">
        <v>93</v>
      </c>
      <c r="CQ4" s="81">
        <v>94</v>
      </c>
      <c r="CR4" s="81">
        <v>95</v>
      </c>
      <c r="CS4" s="81">
        <v>96</v>
      </c>
      <c r="CT4" s="81">
        <v>97</v>
      </c>
      <c r="CU4" s="81">
        <v>98</v>
      </c>
      <c r="CV4" s="81">
        <v>99</v>
      </c>
      <c r="CW4" s="81">
        <v>100</v>
      </c>
      <c r="CX4" s="81">
        <v>101</v>
      </c>
      <c r="CY4" s="81">
        <v>102</v>
      </c>
      <c r="CZ4" s="81">
        <v>103</v>
      </c>
      <c r="DA4" s="81">
        <v>104</v>
      </c>
      <c r="DB4" s="81">
        <v>105</v>
      </c>
      <c r="DC4" s="81">
        <v>106</v>
      </c>
      <c r="DD4" s="81">
        <v>107</v>
      </c>
      <c r="DE4" s="81">
        <v>108</v>
      </c>
      <c r="DF4" s="81">
        <v>109</v>
      </c>
      <c r="DG4" s="81">
        <v>110</v>
      </c>
      <c r="DH4" s="81">
        <v>111</v>
      </c>
    </row>
    <row r="5" spans="2:112" ht="60" x14ac:dyDescent="0.2">
      <c r="B5" s="179" t="s">
        <v>298</v>
      </c>
      <c r="C5" s="179" t="s">
        <v>298</v>
      </c>
      <c r="D5" s="179" t="s">
        <v>298</v>
      </c>
      <c r="E5" s="179" t="s">
        <v>0</v>
      </c>
      <c r="F5" s="179" t="s">
        <v>73</v>
      </c>
      <c r="G5" s="179" t="s">
        <v>230</v>
      </c>
      <c r="H5" s="179" t="s">
        <v>15</v>
      </c>
      <c r="I5" s="179" t="s">
        <v>151</v>
      </c>
      <c r="J5" s="179" t="s">
        <v>152</v>
      </c>
      <c r="K5" s="84" t="s">
        <v>153</v>
      </c>
      <c r="L5" s="84" t="s">
        <v>154</v>
      </c>
      <c r="M5" s="84" t="s">
        <v>155</v>
      </c>
      <c r="N5" s="84" t="s">
        <v>156</v>
      </c>
      <c r="O5" s="84" t="s">
        <v>157</v>
      </c>
      <c r="P5" s="84" t="s">
        <v>158</v>
      </c>
      <c r="Q5" s="84" t="s">
        <v>159</v>
      </c>
      <c r="R5" s="84" t="s">
        <v>160</v>
      </c>
      <c r="S5" s="84" t="s">
        <v>161</v>
      </c>
      <c r="T5" s="84" t="s">
        <v>162</v>
      </c>
      <c r="U5" s="84" t="s">
        <v>163</v>
      </c>
      <c r="V5" s="84" t="s">
        <v>164</v>
      </c>
      <c r="W5" s="84" t="s">
        <v>165</v>
      </c>
      <c r="X5" s="84" t="s">
        <v>166</v>
      </c>
      <c r="Y5" s="84" t="s">
        <v>167</v>
      </c>
      <c r="Z5" s="84" t="s">
        <v>168</v>
      </c>
      <c r="AA5" s="84" t="s">
        <v>169</v>
      </c>
      <c r="AB5" s="84" t="s">
        <v>170</v>
      </c>
      <c r="AC5" s="84" t="s">
        <v>171</v>
      </c>
      <c r="AD5" s="84" t="s">
        <v>172</v>
      </c>
      <c r="AE5" s="84" t="s">
        <v>173</v>
      </c>
    </row>
    <row r="6" spans="2:112" s="180" customFormat="1" ht="57" customHeight="1" x14ac:dyDescent="0.25">
      <c r="B6" s="181" t="str">
        <f>C6&amp;"-"&amp;COUNTIF($C$6:C6,C6)</f>
        <v>Domestic Hot WaterMid Rise Office-1</v>
      </c>
      <c r="C6" s="182" t="str">
        <f>F6&amp;H6</f>
        <v>Domestic Hot WaterMid Rise Office</v>
      </c>
      <c r="D6" s="183" t="str">
        <f>G6&amp;H6</f>
        <v>Heat Pump Water HeatersMid Rise Office</v>
      </c>
      <c r="E6" s="85" t="s">
        <v>174</v>
      </c>
      <c r="F6" s="85" t="s">
        <v>85</v>
      </c>
      <c r="G6" s="85" t="s">
        <v>193</v>
      </c>
      <c r="H6" s="86" t="s">
        <v>45</v>
      </c>
      <c r="I6" s="87">
        <v>0.01</v>
      </c>
      <c r="J6" s="87">
        <v>0.04</v>
      </c>
      <c r="K6" s="87">
        <v>0.01</v>
      </c>
      <c r="L6" s="87">
        <v>0.1</v>
      </c>
      <c r="M6" s="87">
        <f t="shared" ref="M6:M29" si="0">AVERAGE(K6:L6)</f>
        <v>5.5E-2</v>
      </c>
      <c r="N6" s="184">
        <f>VLOOKUP(H6,'Existing Building EUI'!$B$7:$E$16,3,FALSE)</f>
        <v>270</v>
      </c>
      <c r="O6" s="184">
        <f>VLOOKUP(H6,'Existing Building EUI'!$B$7:$E$16,4,FALSE)</f>
        <v>219</v>
      </c>
      <c r="P6" s="185">
        <v>0.02</v>
      </c>
      <c r="Q6" s="87">
        <v>0.1</v>
      </c>
      <c r="R6" s="152">
        <v>0</v>
      </c>
      <c r="S6" s="88">
        <v>0</v>
      </c>
      <c r="T6" s="87">
        <v>0</v>
      </c>
      <c r="U6" s="87">
        <v>0</v>
      </c>
      <c r="V6" s="87">
        <f>P6/-4</f>
        <v>-5.0000000000000001E-3</v>
      </c>
      <c r="W6" s="87">
        <f>Q6/-4</f>
        <v>-2.5000000000000001E-2</v>
      </c>
      <c r="X6" s="89">
        <f>N6-(N6*P6)</f>
        <v>264.60000000000002</v>
      </c>
      <c r="Y6" s="89">
        <f t="shared" ref="Y6:Y19" si="1">N6-(N6*Q6)</f>
        <v>243</v>
      </c>
      <c r="Z6" s="89">
        <f t="shared" ref="Z6:Z7" si="2">O6-((O6*R6)+(N6*V6))</f>
        <v>220.35</v>
      </c>
      <c r="AA6" s="89">
        <f t="shared" ref="AA6:AA19" si="3">O6-((O6*S6)+(N6*W6))</f>
        <v>225.75</v>
      </c>
      <c r="AB6" s="89">
        <f>(T6*N6)*-1</f>
        <v>0</v>
      </c>
      <c r="AC6" s="89">
        <f t="shared" ref="AC6" si="4">U6*N6</f>
        <v>0</v>
      </c>
      <c r="AD6" s="152">
        <f t="shared" ref="AD6:AD9" si="5">(SUM(X6,Z6,AB6)-SUM(N6:O6))/SUM(N6:O6)*-1</f>
        <v>8.2822085889569623E-3</v>
      </c>
      <c r="AE6" s="88">
        <f t="shared" ref="AE6:AE19" si="6">(SUM(Y6,AA6,AC6)-SUM(N6:O6))/SUM(N6:O6)*-1</f>
        <v>4.1411042944785273E-2</v>
      </c>
    </row>
    <row r="7" spans="2:112" s="180" customFormat="1" ht="42.75" customHeight="1" x14ac:dyDescent="0.25">
      <c r="B7" s="181" t="str">
        <f>C7&amp;"-"&amp;COUNTIF($C$6:C7,C7)</f>
        <v>Heating SystemMid Rise Office-1</v>
      </c>
      <c r="C7" s="182" t="str">
        <f t="shared" ref="C7:C43" si="7">F7&amp;H7</f>
        <v>Heating SystemMid Rise Office</v>
      </c>
      <c r="D7" s="183" t="str">
        <f t="shared" ref="D7:D43" si="8">G7&amp;H7</f>
        <v>Low Carbon District Energy SystemMid Rise Office</v>
      </c>
      <c r="E7" s="85" t="s">
        <v>188</v>
      </c>
      <c r="F7" s="85" t="s">
        <v>89</v>
      </c>
      <c r="G7" s="199" t="s">
        <v>300</v>
      </c>
      <c r="H7" s="86" t="s">
        <v>45</v>
      </c>
      <c r="I7" s="87">
        <v>0.2</v>
      </c>
      <c r="J7" s="87">
        <v>0.3</v>
      </c>
      <c r="K7" s="87">
        <v>0.3</v>
      </c>
      <c r="L7" s="87">
        <v>0.75</v>
      </c>
      <c r="M7" s="87">
        <f t="shared" si="0"/>
        <v>0.52500000000000002</v>
      </c>
      <c r="N7" s="184">
        <f>VLOOKUP(H7,'Existing Building EUI'!$B$7:$E$16,3,FALSE)</f>
        <v>270</v>
      </c>
      <c r="O7" s="184">
        <f>VLOOKUP(H7,'Existing Building EUI'!$B$7:$E$16,4,FALSE)</f>
        <v>219</v>
      </c>
      <c r="P7" s="185">
        <v>0.85</v>
      </c>
      <c r="Q7" s="87">
        <v>0.95</v>
      </c>
      <c r="R7" s="152">
        <v>0.05</v>
      </c>
      <c r="S7" s="88">
        <v>0.1</v>
      </c>
      <c r="T7" s="87">
        <f>P7*-0.7</f>
        <v>-0.59499999999999997</v>
      </c>
      <c r="U7" s="87">
        <f>Q7*-0.7</f>
        <v>-0.66499999999999992</v>
      </c>
      <c r="V7" s="87">
        <v>0</v>
      </c>
      <c r="W7" s="87">
        <v>0</v>
      </c>
      <c r="X7" s="89">
        <f t="shared" ref="X7:X19" si="9">N7-(N7*P7)</f>
        <v>40.5</v>
      </c>
      <c r="Y7" s="89">
        <f t="shared" si="1"/>
        <v>13.5</v>
      </c>
      <c r="Z7" s="89">
        <f t="shared" si="2"/>
        <v>208.05</v>
      </c>
      <c r="AA7" s="89">
        <f t="shared" si="3"/>
        <v>197.1</v>
      </c>
      <c r="AB7" s="89">
        <f>(T7*N7)*-1</f>
        <v>160.65</v>
      </c>
      <c r="AC7" s="89">
        <f>(U7*N7)*-1</f>
        <v>179.54999999999998</v>
      </c>
      <c r="AD7" s="152">
        <f t="shared" si="5"/>
        <v>0.16319018404907967</v>
      </c>
      <c r="AE7" s="88">
        <f t="shared" si="6"/>
        <v>0.20214723926380374</v>
      </c>
    </row>
    <row r="8" spans="2:112" s="180" customFormat="1" ht="28.5" x14ac:dyDescent="0.25">
      <c r="B8" s="181" t="str">
        <f>C8&amp;"-"&amp;COUNTIF($C$6:C8,C8)</f>
        <v>Heating SystemMid Rise Office-2</v>
      </c>
      <c r="C8" s="182" t="str">
        <f t="shared" si="7"/>
        <v>Heating SystemMid Rise Office</v>
      </c>
      <c r="D8" s="183" t="str">
        <f t="shared" si="8"/>
        <v>Air Source Heat PumpsMid Rise Office</v>
      </c>
      <c r="E8" s="85" t="s">
        <v>189</v>
      </c>
      <c r="F8" s="85" t="s">
        <v>89</v>
      </c>
      <c r="G8" s="85" t="s">
        <v>192</v>
      </c>
      <c r="H8" s="86" t="s">
        <v>45</v>
      </c>
      <c r="I8" s="87">
        <v>0.2</v>
      </c>
      <c r="J8" s="87">
        <v>0.3</v>
      </c>
      <c r="K8" s="87">
        <v>0.3</v>
      </c>
      <c r="L8" s="87">
        <v>0.75</v>
      </c>
      <c r="M8" s="87">
        <f t="shared" si="0"/>
        <v>0.52500000000000002</v>
      </c>
      <c r="N8" s="184">
        <f>VLOOKUP(H8,'Existing Building EUI'!$B$7:$E$16,3,FALSE)</f>
        <v>270</v>
      </c>
      <c r="O8" s="184">
        <f>VLOOKUP(H8,'Existing Building EUI'!$B$7:$E$16,4,FALSE)</f>
        <v>219</v>
      </c>
      <c r="P8" s="185">
        <v>0.85</v>
      </c>
      <c r="Q8" s="87">
        <v>0.95</v>
      </c>
      <c r="R8" s="152">
        <v>0.05</v>
      </c>
      <c r="S8" s="88">
        <v>0.1</v>
      </c>
      <c r="T8" s="87">
        <v>0</v>
      </c>
      <c r="U8" s="87">
        <v>0</v>
      </c>
      <c r="V8" s="87">
        <f>P8/-2</f>
        <v>-0.42499999999999999</v>
      </c>
      <c r="W8" s="87">
        <f>Q8/-2</f>
        <v>-0.47499999999999998</v>
      </c>
      <c r="X8" s="89">
        <f t="shared" si="9"/>
        <v>40.5</v>
      </c>
      <c r="Y8" s="89">
        <f t="shared" si="1"/>
        <v>13.5</v>
      </c>
      <c r="Z8" s="89">
        <f>O8-((O8*R8)+(N8*V8))</f>
        <v>322.8</v>
      </c>
      <c r="AA8" s="89">
        <f t="shared" si="3"/>
        <v>325.35000000000002</v>
      </c>
      <c r="AB8" s="89">
        <f t="shared" ref="AB8:AB19" si="10">(T8*N8)*-1</f>
        <v>0</v>
      </c>
      <c r="AC8" s="89">
        <f t="shared" ref="AC8:AC10" si="11">U8*N8</f>
        <v>0</v>
      </c>
      <c r="AD8" s="152">
        <f t="shared" si="5"/>
        <v>0.25705521472392634</v>
      </c>
      <c r="AE8" s="88">
        <f t="shared" si="6"/>
        <v>0.30705521472392633</v>
      </c>
    </row>
    <row r="9" spans="2:112" s="180" customFormat="1" ht="28.5" x14ac:dyDescent="0.25">
      <c r="B9" s="181" t="str">
        <f>C9&amp;"-"&amp;COUNTIF($C$6:C9,C9)</f>
        <v>Heating SystemMid Rise Office-3</v>
      </c>
      <c r="C9" s="182" t="str">
        <f t="shared" si="7"/>
        <v>Heating SystemMid Rise Office</v>
      </c>
      <c r="D9" s="183" t="str">
        <f t="shared" si="8"/>
        <v>Ground Source Heat PumpsMid Rise Office</v>
      </c>
      <c r="E9" s="85" t="s">
        <v>190</v>
      </c>
      <c r="F9" s="85" t="s">
        <v>89</v>
      </c>
      <c r="G9" s="85" t="s">
        <v>130</v>
      </c>
      <c r="H9" s="86" t="s">
        <v>45</v>
      </c>
      <c r="I9" s="87">
        <v>0.2</v>
      </c>
      <c r="J9" s="87">
        <v>0.3</v>
      </c>
      <c r="K9" s="87">
        <v>0.3</v>
      </c>
      <c r="L9" s="87">
        <v>0.75</v>
      </c>
      <c r="M9" s="87">
        <f t="shared" si="0"/>
        <v>0.52500000000000002</v>
      </c>
      <c r="N9" s="184">
        <f>VLOOKUP(H9,'Existing Building EUI'!$B$7:$E$16,3,FALSE)</f>
        <v>270</v>
      </c>
      <c r="O9" s="184">
        <f>VLOOKUP(H9,'Existing Building EUI'!$B$7:$E$16,4,FALSE)</f>
        <v>219</v>
      </c>
      <c r="P9" s="185">
        <v>0.85</v>
      </c>
      <c r="Q9" s="87">
        <v>0.95</v>
      </c>
      <c r="R9" s="152">
        <v>0.05</v>
      </c>
      <c r="S9" s="88">
        <v>0.1</v>
      </c>
      <c r="T9" s="87">
        <v>0</v>
      </c>
      <c r="U9" s="87">
        <v>0</v>
      </c>
      <c r="V9" s="87">
        <f>P9/-3</f>
        <v>-0.28333333333333333</v>
      </c>
      <c r="W9" s="87">
        <f>Q9/-3</f>
        <v>-0.31666666666666665</v>
      </c>
      <c r="X9" s="89">
        <f t="shared" si="9"/>
        <v>40.5</v>
      </c>
      <c r="Y9" s="89">
        <f t="shared" si="1"/>
        <v>13.5</v>
      </c>
      <c r="Z9" s="89">
        <f>O9-((O9*R9)+(N9*V9))</f>
        <v>284.55</v>
      </c>
      <c r="AA9" s="89">
        <f t="shared" si="3"/>
        <v>282.60000000000002</v>
      </c>
      <c r="AB9" s="89">
        <f t="shared" si="10"/>
        <v>0</v>
      </c>
      <c r="AC9" s="89">
        <f t="shared" si="11"/>
        <v>0</v>
      </c>
      <c r="AD9" s="152">
        <f t="shared" si="5"/>
        <v>0.33527607361963185</v>
      </c>
      <c r="AE9" s="88">
        <f t="shared" si="6"/>
        <v>0.39447852760736191</v>
      </c>
    </row>
    <row r="10" spans="2:112" s="180" customFormat="1" ht="42.75" x14ac:dyDescent="0.25">
      <c r="B10" s="181" t="str">
        <f>C10&amp;"-"&amp;COUNTIF($C$6:C10,C10)</f>
        <v>Domestic Hot WaterEducational Facility-1</v>
      </c>
      <c r="C10" s="182" t="str">
        <f t="shared" si="7"/>
        <v>Domestic Hot WaterEducational Facility</v>
      </c>
      <c r="D10" s="183" t="str">
        <f t="shared" si="8"/>
        <v>Heat Pump Water HeatersEducational Facility</v>
      </c>
      <c r="E10" s="85" t="s">
        <v>174</v>
      </c>
      <c r="F10" s="85" t="s">
        <v>85</v>
      </c>
      <c r="G10" s="85" t="s">
        <v>193</v>
      </c>
      <c r="H10" s="86" t="s">
        <v>144</v>
      </c>
      <c r="I10" s="87">
        <v>0.01</v>
      </c>
      <c r="J10" s="87">
        <v>0.05</v>
      </c>
      <c r="K10" s="87">
        <v>0.01</v>
      </c>
      <c r="L10" s="87">
        <v>0.15</v>
      </c>
      <c r="M10" s="87">
        <f t="shared" si="0"/>
        <v>0.08</v>
      </c>
      <c r="N10" s="184">
        <f>VLOOKUP(H10,'Existing Building EUI'!$B$7:$E$16,3,FALSE)</f>
        <v>201</v>
      </c>
      <c r="O10" s="184">
        <f>VLOOKUP(H10,'Existing Building EUI'!$B$7:$E$16,4,FALSE)</f>
        <v>284</v>
      </c>
      <c r="P10" s="185">
        <v>0.02</v>
      </c>
      <c r="Q10" s="87">
        <v>0.15</v>
      </c>
      <c r="R10" s="152">
        <v>0</v>
      </c>
      <c r="S10" s="88">
        <v>0</v>
      </c>
      <c r="T10" s="87">
        <v>0</v>
      </c>
      <c r="U10" s="87">
        <v>0</v>
      </c>
      <c r="V10" s="87">
        <f>P10/-4</f>
        <v>-5.0000000000000001E-3</v>
      </c>
      <c r="W10" s="87">
        <f>Q10/-4</f>
        <v>-3.7499999999999999E-2</v>
      </c>
      <c r="X10" s="89">
        <f t="shared" si="9"/>
        <v>196.98</v>
      </c>
      <c r="Y10" s="89">
        <f t="shared" si="1"/>
        <v>170.85</v>
      </c>
      <c r="Z10" s="89">
        <f t="shared" ref="Z10:Z19" si="12">O10-((O10*R10)+(N10*V10))</f>
        <v>285.005</v>
      </c>
      <c r="AA10" s="89">
        <f t="shared" si="3"/>
        <v>291.53750000000002</v>
      </c>
      <c r="AB10" s="89">
        <f t="shared" si="10"/>
        <v>0</v>
      </c>
      <c r="AC10" s="89">
        <f t="shared" si="11"/>
        <v>0</v>
      </c>
      <c r="AD10" s="152">
        <f t="shared" ref="AD10:AD19" si="13">(SUM(X10,Z10,AB10)-SUM(N10:O10))/SUM(N10:O10)*-1</f>
        <v>6.2164948453607965E-3</v>
      </c>
      <c r="AE10" s="88">
        <f t="shared" si="6"/>
        <v>4.6623711340206091E-2</v>
      </c>
    </row>
    <row r="11" spans="2:112" s="180" customFormat="1" ht="28.5" x14ac:dyDescent="0.25">
      <c r="B11" s="181" t="str">
        <f>C11&amp;"-"&amp;COUNTIF($C$6:C11,C11)</f>
        <v>Heating SystemEducational Facility-1</v>
      </c>
      <c r="C11" s="182" t="str">
        <f t="shared" si="7"/>
        <v>Heating SystemEducational Facility</v>
      </c>
      <c r="D11" s="183" t="str">
        <f t="shared" si="8"/>
        <v>Low Carbon District Energy SystemEducational Facility</v>
      </c>
      <c r="E11" s="85" t="s">
        <v>188</v>
      </c>
      <c r="F11" s="85" t="s">
        <v>89</v>
      </c>
      <c r="G11" s="199" t="s">
        <v>300</v>
      </c>
      <c r="H11" s="86" t="s">
        <v>144</v>
      </c>
      <c r="I11" s="87">
        <v>0.21</v>
      </c>
      <c r="J11" s="87">
        <v>0.3</v>
      </c>
      <c r="K11" s="87">
        <v>0.3</v>
      </c>
      <c r="L11" s="87">
        <v>0.75</v>
      </c>
      <c r="M11" s="87">
        <f t="shared" si="0"/>
        <v>0.52500000000000002</v>
      </c>
      <c r="N11" s="184">
        <f>VLOOKUP(H11,'Existing Building EUI'!$B$7:$E$16,3,FALSE)</f>
        <v>201</v>
      </c>
      <c r="O11" s="184">
        <f>VLOOKUP(H11,'Existing Building EUI'!$B$7:$E$16,4,FALSE)</f>
        <v>284</v>
      </c>
      <c r="P11" s="185">
        <v>0.8</v>
      </c>
      <c r="Q11" s="87">
        <v>0.98</v>
      </c>
      <c r="R11" s="152">
        <v>0.05</v>
      </c>
      <c r="S11" s="88">
        <v>0.08</v>
      </c>
      <c r="T11" s="87">
        <f>P11*-0.7</f>
        <v>-0.55999999999999994</v>
      </c>
      <c r="U11" s="87">
        <f>Q11*-0.7</f>
        <v>-0.68599999999999994</v>
      </c>
      <c r="V11" s="87">
        <v>0</v>
      </c>
      <c r="W11" s="87">
        <v>0</v>
      </c>
      <c r="X11" s="89">
        <f t="shared" si="9"/>
        <v>40.199999999999989</v>
      </c>
      <c r="Y11" s="89">
        <f t="shared" si="1"/>
        <v>4.0200000000000102</v>
      </c>
      <c r="Z11" s="89">
        <f t="shared" si="12"/>
        <v>269.8</v>
      </c>
      <c r="AA11" s="89">
        <f t="shared" si="3"/>
        <v>261.27999999999997</v>
      </c>
      <c r="AB11" s="89">
        <f t="shared" si="10"/>
        <v>112.55999999999999</v>
      </c>
      <c r="AC11" s="89">
        <f>(U11*N11)*-1</f>
        <v>137.886</v>
      </c>
      <c r="AD11" s="152">
        <f t="shared" si="13"/>
        <v>0.12874226804123712</v>
      </c>
      <c r="AE11" s="88">
        <f t="shared" si="6"/>
        <v>0.16868865979381459</v>
      </c>
    </row>
    <row r="12" spans="2:112" s="180" customFormat="1" ht="28.5" x14ac:dyDescent="0.25">
      <c r="B12" s="181" t="str">
        <f>C12&amp;"-"&amp;COUNTIF($C$6:C12,C12)</f>
        <v>Heating SystemEducational Facility-2</v>
      </c>
      <c r="C12" s="182" t="str">
        <f t="shared" si="7"/>
        <v>Heating SystemEducational Facility</v>
      </c>
      <c r="D12" s="183" t="str">
        <f t="shared" si="8"/>
        <v>Air Source Heat PumpsEducational Facility</v>
      </c>
      <c r="E12" s="85" t="s">
        <v>189</v>
      </c>
      <c r="F12" s="85" t="s">
        <v>89</v>
      </c>
      <c r="G12" s="85" t="s">
        <v>192</v>
      </c>
      <c r="H12" s="86" t="s">
        <v>144</v>
      </c>
      <c r="I12" s="87">
        <v>0.21</v>
      </c>
      <c r="J12" s="87">
        <v>0.3</v>
      </c>
      <c r="K12" s="87">
        <v>0.3</v>
      </c>
      <c r="L12" s="87">
        <v>0.75</v>
      </c>
      <c r="M12" s="87">
        <f t="shared" si="0"/>
        <v>0.52500000000000002</v>
      </c>
      <c r="N12" s="184">
        <f>VLOOKUP(H12,'Existing Building EUI'!$B$7:$E$16,3,FALSE)</f>
        <v>201</v>
      </c>
      <c r="O12" s="184">
        <f>VLOOKUP(H12,'Existing Building EUI'!$B$7:$E$16,4,FALSE)</f>
        <v>284</v>
      </c>
      <c r="P12" s="185">
        <v>0.8</v>
      </c>
      <c r="Q12" s="87">
        <v>0.98</v>
      </c>
      <c r="R12" s="152">
        <v>0.05</v>
      </c>
      <c r="S12" s="88">
        <v>0.08</v>
      </c>
      <c r="T12" s="87">
        <v>0</v>
      </c>
      <c r="U12" s="87">
        <v>0</v>
      </c>
      <c r="V12" s="87">
        <f>P12/-2</f>
        <v>-0.4</v>
      </c>
      <c r="W12" s="87">
        <f>Q12/-2</f>
        <v>-0.49</v>
      </c>
      <c r="X12" s="89">
        <f t="shared" si="9"/>
        <v>40.199999999999989</v>
      </c>
      <c r="Y12" s="89">
        <f t="shared" si="1"/>
        <v>4.0200000000000102</v>
      </c>
      <c r="Z12" s="89">
        <f t="shared" si="12"/>
        <v>350.2</v>
      </c>
      <c r="AA12" s="89">
        <f t="shared" si="3"/>
        <v>359.77</v>
      </c>
      <c r="AB12" s="89">
        <f t="shared" si="10"/>
        <v>0</v>
      </c>
      <c r="AC12" s="89">
        <f t="shared" ref="AC12:AC19" si="14">U12*N12</f>
        <v>0</v>
      </c>
      <c r="AD12" s="152">
        <f t="shared" si="13"/>
        <v>0.19505154639175262</v>
      </c>
      <c r="AE12" s="88">
        <f t="shared" si="6"/>
        <v>0.24991752577319595</v>
      </c>
    </row>
    <row r="13" spans="2:112" s="180" customFormat="1" ht="28.5" x14ac:dyDescent="0.25">
      <c r="B13" s="181" t="str">
        <f>C13&amp;"-"&amp;COUNTIF($C$6:C13,C13)</f>
        <v>Heating SystemEducational Facility-3</v>
      </c>
      <c r="C13" s="182" t="str">
        <f t="shared" si="7"/>
        <v>Heating SystemEducational Facility</v>
      </c>
      <c r="D13" s="183" t="str">
        <f t="shared" si="8"/>
        <v>Ground Source Heat PumpsEducational Facility</v>
      </c>
      <c r="E13" s="85" t="s">
        <v>190</v>
      </c>
      <c r="F13" s="85" t="s">
        <v>89</v>
      </c>
      <c r="G13" s="85" t="s">
        <v>130</v>
      </c>
      <c r="H13" s="86" t="s">
        <v>144</v>
      </c>
      <c r="I13" s="87">
        <v>0.21</v>
      </c>
      <c r="J13" s="87">
        <v>0.3</v>
      </c>
      <c r="K13" s="87">
        <v>0.3</v>
      </c>
      <c r="L13" s="87">
        <v>0.75</v>
      </c>
      <c r="M13" s="87">
        <f t="shared" si="0"/>
        <v>0.52500000000000002</v>
      </c>
      <c r="N13" s="184">
        <f>VLOOKUP(H13,'Existing Building EUI'!$B$7:$E$16,3,FALSE)</f>
        <v>201</v>
      </c>
      <c r="O13" s="184">
        <f>VLOOKUP(H13,'Existing Building EUI'!$B$7:$E$16,4,FALSE)</f>
        <v>284</v>
      </c>
      <c r="P13" s="185">
        <v>0.8</v>
      </c>
      <c r="Q13" s="87">
        <v>0.98</v>
      </c>
      <c r="R13" s="152">
        <v>0.05</v>
      </c>
      <c r="S13" s="88">
        <v>0.08</v>
      </c>
      <c r="T13" s="87">
        <v>0</v>
      </c>
      <c r="U13" s="87">
        <v>0</v>
      </c>
      <c r="V13" s="87">
        <f>P13/-3</f>
        <v>-0.26666666666666666</v>
      </c>
      <c r="W13" s="87">
        <f>Q13/-3</f>
        <v>-0.32666666666666666</v>
      </c>
      <c r="X13" s="89">
        <f t="shared" si="9"/>
        <v>40.199999999999989</v>
      </c>
      <c r="Y13" s="89">
        <f t="shared" si="1"/>
        <v>4.0200000000000102</v>
      </c>
      <c r="Z13" s="89">
        <f t="shared" si="12"/>
        <v>323.39999999999998</v>
      </c>
      <c r="AA13" s="89">
        <f t="shared" si="3"/>
        <v>326.94</v>
      </c>
      <c r="AB13" s="89">
        <f t="shared" si="10"/>
        <v>0</v>
      </c>
      <c r="AC13" s="89">
        <f t="shared" si="14"/>
        <v>0</v>
      </c>
      <c r="AD13" s="152">
        <f t="shared" si="13"/>
        <v>0.25030927835051553</v>
      </c>
      <c r="AE13" s="88">
        <f t="shared" si="6"/>
        <v>0.31760824742268035</v>
      </c>
    </row>
    <row r="14" spans="2:112" s="180" customFormat="1" ht="28.5" x14ac:dyDescent="0.25">
      <c r="B14" s="181" t="str">
        <f>C14&amp;"-"&amp;COUNTIF($C$6:C14,C14)</f>
        <v>Gas AppliancesEducational Facility-1</v>
      </c>
      <c r="C14" s="182" t="str">
        <f t="shared" si="7"/>
        <v>Gas AppliancesEducational Facility</v>
      </c>
      <c r="D14" s="183" t="str">
        <f t="shared" si="8"/>
        <v>Electric and Induction RangesEducational Facility</v>
      </c>
      <c r="E14" s="85" t="s">
        <v>175</v>
      </c>
      <c r="F14" s="85" t="s">
        <v>100</v>
      </c>
      <c r="G14" s="85" t="s">
        <v>194</v>
      </c>
      <c r="H14" s="86" t="s">
        <v>144</v>
      </c>
      <c r="I14" s="87">
        <v>0.01</v>
      </c>
      <c r="J14" s="87">
        <v>0.1</v>
      </c>
      <c r="K14" s="87">
        <v>0.1</v>
      </c>
      <c r="L14" s="87">
        <v>0.15</v>
      </c>
      <c r="M14" s="87">
        <f t="shared" si="0"/>
        <v>0.125</v>
      </c>
      <c r="N14" s="184">
        <f>VLOOKUP(H14,'Existing Building EUI'!$B$7:$E$16,3,FALSE)</f>
        <v>201</v>
      </c>
      <c r="O14" s="184">
        <f>VLOOKUP(H14,'Existing Building EUI'!$B$7:$E$16,4,FALSE)</f>
        <v>284</v>
      </c>
      <c r="P14" s="185">
        <v>0.05</v>
      </c>
      <c r="Q14" s="87">
        <v>0.15</v>
      </c>
      <c r="R14" s="152">
        <v>0</v>
      </c>
      <c r="S14" s="88">
        <v>0</v>
      </c>
      <c r="T14" s="87">
        <v>0</v>
      </c>
      <c r="U14" s="87">
        <v>0</v>
      </c>
      <c r="V14" s="87">
        <f t="shared" ref="V14:W14" si="15">P14/-2</f>
        <v>-2.5000000000000001E-2</v>
      </c>
      <c r="W14" s="87">
        <f t="shared" si="15"/>
        <v>-7.4999999999999997E-2</v>
      </c>
      <c r="X14" s="89">
        <f t="shared" si="9"/>
        <v>190.95</v>
      </c>
      <c r="Y14" s="89">
        <f t="shared" si="1"/>
        <v>170.85</v>
      </c>
      <c r="Z14" s="89">
        <f t="shared" si="12"/>
        <v>289.02499999999998</v>
      </c>
      <c r="AA14" s="89">
        <f t="shared" si="3"/>
        <v>299.07499999999999</v>
      </c>
      <c r="AB14" s="89">
        <f t="shared" si="10"/>
        <v>0</v>
      </c>
      <c r="AC14" s="89">
        <f t="shared" si="14"/>
        <v>0</v>
      </c>
      <c r="AD14" s="152">
        <f t="shared" si="13"/>
        <v>1.0360824742268111E-2</v>
      </c>
      <c r="AE14" s="88">
        <f t="shared" si="6"/>
        <v>3.1082474226804217E-2</v>
      </c>
    </row>
    <row r="15" spans="2:112" s="180" customFormat="1" ht="28.5" x14ac:dyDescent="0.25">
      <c r="B15" s="181" t="str">
        <f>C15&amp;"-"&amp;COUNTIF($C$6:C15,C15)</f>
        <v>Domestic Hot WaterBig Box Store-1</v>
      </c>
      <c r="C15" s="182" t="str">
        <f t="shared" si="7"/>
        <v>Domestic Hot WaterBig Box Store</v>
      </c>
      <c r="D15" s="183" t="str">
        <f t="shared" si="8"/>
        <v>Electric Water HeatersBig Box Store</v>
      </c>
      <c r="E15" s="85" t="s">
        <v>176</v>
      </c>
      <c r="F15" s="85" t="s">
        <v>85</v>
      </c>
      <c r="G15" s="85" t="s">
        <v>196</v>
      </c>
      <c r="H15" s="86" t="s">
        <v>50</v>
      </c>
      <c r="I15" s="87">
        <v>0.01</v>
      </c>
      <c r="J15" s="87">
        <v>0.05</v>
      </c>
      <c r="K15" s="87">
        <v>0.01</v>
      </c>
      <c r="L15" s="87">
        <v>0.1</v>
      </c>
      <c r="M15" s="87">
        <f>AVERAGE(K15:L15)</f>
        <v>5.5E-2</v>
      </c>
      <c r="N15" s="184">
        <f>VLOOKUP(H15,'Existing Building EUI'!$B$7:$E$16,3,FALSE)</f>
        <v>159</v>
      </c>
      <c r="O15" s="184">
        <f>VLOOKUP(H15,'Existing Building EUI'!$B$7:$E$16,4,FALSE)</f>
        <v>231</v>
      </c>
      <c r="P15" s="185">
        <v>0.02</v>
      </c>
      <c r="Q15" s="87">
        <v>0.15</v>
      </c>
      <c r="R15" s="152">
        <v>0</v>
      </c>
      <c r="S15" s="88">
        <v>0</v>
      </c>
      <c r="T15" s="87">
        <v>0</v>
      </c>
      <c r="U15" s="87">
        <v>0</v>
      </c>
      <c r="V15" s="87">
        <f>P15/-4</f>
        <v>-5.0000000000000001E-3</v>
      </c>
      <c r="W15" s="87">
        <f>Q15/-4</f>
        <v>-3.7499999999999999E-2</v>
      </c>
      <c r="X15" s="89">
        <f t="shared" si="9"/>
        <v>155.82</v>
      </c>
      <c r="Y15" s="89">
        <f t="shared" si="1"/>
        <v>135.15</v>
      </c>
      <c r="Z15" s="89">
        <f t="shared" si="12"/>
        <v>231.79499999999999</v>
      </c>
      <c r="AA15" s="89">
        <f t="shared" si="3"/>
        <v>236.96250000000001</v>
      </c>
      <c r="AB15" s="89">
        <f t="shared" si="10"/>
        <v>0</v>
      </c>
      <c r="AC15" s="89">
        <f t="shared" si="14"/>
        <v>0</v>
      </c>
      <c r="AD15" s="152">
        <f t="shared" si="13"/>
        <v>6.115384615384592E-3</v>
      </c>
      <c r="AE15" s="88">
        <f t="shared" si="6"/>
        <v>4.5865384615384586E-2</v>
      </c>
    </row>
    <row r="16" spans="2:112" s="180" customFormat="1" ht="57" x14ac:dyDescent="0.25">
      <c r="B16" s="181" t="str">
        <f>C16&amp;"-"&amp;COUNTIF($C$6:C16,C16)</f>
        <v>Heating SystemBig Box Store-1</v>
      </c>
      <c r="C16" s="182" t="str">
        <f t="shared" si="7"/>
        <v>Heating SystemBig Box Store</v>
      </c>
      <c r="D16" s="183" t="str">
        <f t="shared" si="8"/>
        <v>Air Source Heat PumpsBig Box Store</v>
      </c>
      <c r="E16" s="85" t="s">
        <v>191</v>
      </c>
      <c r="F16" s="85" t="s">
        <v>89</v>
      </c>
      <c r="G16" s="85" t="s">
        <v>192</v>
      </c>
      <c r="H16" s="86" t="s">
        <v>50</v>
      </c>
      <c r="I16" s="87">
        <v>0.11</v>
      </c>
      <c r="J16" s="87">
        <v>0.2</v>
      </c>
      <c r="K16" s="87">
        <v>0.3</v>
      </c>
      <c r="L16" s="87">
        <v>0.55000000000000004</v>
      </c>
      <c r="M16" s="87">
        <f t="shared" si="0"/>
        <v>0.42500000000000004</v>
      </c>
      <c r="N16" s="184">
        <f>VLOOKUP(H16,'Existing Building EUI'!$B$7:$E$16,3,FALSE)</f>
        <v>159</v>
      </c>
      <c r="O16" s="184">
        <f>VLOOKUP(H16,'Existing Building EUI'!$B$7:$E$16,4,FALSE)</f>
        <v>231</v>
      </c>
      <c r="P16" s="185">
        <v>0.85</v>
      </c>
      <c r="Q16" s="87">
        <v>0.9</v>
      </c>
      <c r="R16" s="152">
        <v>0.05</v>
      </c>
      <c r="S16" s="88">
        <v>0.08</v>
      </c>
      <c r="T16" s="87">
        <v>0</v>
      </c>
      <c r="U16" s="87">
        <v>0</v>
      </c>
      <c r="V16" s="87">
        <f>P16/-2</f>
        <v>-0.42499999999999999</v>
      </c>
      <c r="W16" s="87">
        <f>Q16/-2</f>
        <v>-0.45</v>
      </c>
      <c r="X16" s="89">
        <f t="shared" si="9"/>
        <v>23.849999999999994</v>
      </c>
      <c r="Y16" s="89">
        <f t="shared" si="1"/>
        <v>15.900000000000006</v>
      </c>
      <c r="Z16" s="89">
        <f t="shared" si="12"/>
        <v>287.02499999999998</v>
      </c>
      <c r="AA16" s="89">
        <f t="shared" si="3"/>
        <v>284.07</v>
      </c>
      <c r="AB16" s="89">
        <f t="shared" si="10"/>
        <v>0</v>
      </c>
      <c r="AC16" s="89">
        <f t="shared" si="14"/>
        <v>0</v>
      </c>
      <c r="AD16" s="152">
        <f t="shared" si="13"/>
        <v>0.20288461538461539</v>
      </c>
      <c r="AE16" s="88">
        <f t="shared" si="6"/>
        <v>0.23084615384615378</v>
      </c>
    </row>
    <row r="17" spans="2:31" s="180" customFormat="1" ht="42.75" x14ac:dyDescent="0.25">
      <c r="B17" s="181" t="str">
        <f>C17&amp;"-"&amp;COUNTIF($C$6:C17,C17)</f>
        <v>Domestic Hot WaterLow Rise Office-1</v>
      </c>
      <c r="C17" s="182" t="str">
        <f t="shared" si="7"/>
        <v>Domestic Hot WaterLow Rise Office</v>
      </c>
      <c r="D17" s="183" t="str">
        <f t="shared" si="8"/>
        <v>Heat Pump Water HeatersLow Rise Office</v>
      </c>
      <c r="E17" s="85" t="s">
        <v>174</v>
      </c>
      <c r="F17" s="85" t="s">
        <v>85</v>
      </c>
      <c r="G17" s="85" t="s">
        <v>193</v>
      </c>
      <c r="H17" s="86" t="s">
        <v>63</v>
      </c>
      <c r="I17" s="87">
        <v>0.01</v>
      </c>
      <c r="J17" s="87">
        <v>0.05</v>
      </c>
      <c r="K17" s="87">
        <v>0.01</v>
      </c>
      <c r="L17" s="87">
        <v>0.1</v>
      </c>
      <c r="M17" s="87">
        <f t="shared" si="0"/>
        <v>5.5E-2</v>
      </c>
      <c r="N17" s="184">
        <f>VLOOKUP(H17,'Existing Building EUI'!$B$7:$E$16,3,FALSE)</f>
        <v>149</v>
      </c>
      <c r="O17" s="184">
        <f>VLOOKUP(H17,'Existing Building EUI'!$B$7:$E$16,4,FALSE)</f>
        <v>204</v>
      </c>
      <c r="P17" s="185">
        <v>0.02</v>
      </c>
      <c r="Q17" s="87">
        <v>0.15</v>
      </c>
      <c r="R17" s="152">
        <v>0</v>
      </c>
      <c r="S17" s="88">
        <v>0</v>
      </c>
      <c r="T17" s="87">
        <v>0</v>
      </c>
      <c r="U17" s="87">
        <v>0</v>
      </c>
      <c r="V17" s="87">
        <f>P17/-4</f>
        <v>-5.0000000000000001E-3</v>
      </c>
      <c r="W17" s="87">
        <f>Q17/-4</f>
        <v>-3.7499999999999999E-2</v>
      </c>
      <c r="X17" s="89">
        <f t="shared" si="9"/>
        <v>146.02000000000001</v>
      </c>
      <c r="Y17" s="89">
        <f t="shared" si="1"/>
        <v>126.65</v>
      </c>
      <c r="Z17" s="89">
        <f t="shared" si="12"/>
        <v>204.745</v>
      </c>
      <c r="AA17" s="89">
        <f t="shared" si="3"/>
        <v>209.58750000000001</v>
      </c>
      <c r="AB17" s="89">
        <f t="shared" si="10"/>
        <v>0</v>
      </c>
      <c r="AC17" s="89">
        <f t="shared" si="14"/>
        <v>0</v>
      </c>
      <c r="AD17" s="152">
        <f t="shared" si="13"/>
        <v>6.3314447592068375E-3</v>
      </c>
      <c r="AE17" s="88">
        <f t="shared" si="6"/>
        <v>4.748583569405096E-2</v>
      </c>
    </row>
    <row r="18" spans="2:31" s="180" customFormat="1" ht="57" x14ac:dyDescent="0.25">
      <c r="B18" s="181" t="str">
        <f>C18&amp;"-"&amp;COUNTIF($C$6:C18,C18)</f>
        <v>Heating SystemLow Rise Office-1</v>
      </c>
      <c r="C18" s="182" t="str">
        <f t="shared" si="7"/>
        <v>Heating SystemLow Rise Office</v>
      </c>
      <c r="D18" s="183" t="str">
        <f t="shared" si="8"/>
        <v>Air Source Heat PumpsLow Rise Office</v>
      </c>
      <c r="E18" s="85" t="s">
        <v>177</v>
      </c>
      <c r="F18" s="85" t="s">
        <v>89</v>
      </c>
      <c r="G18" s="85" t="s">
        <v>192</v>
      </c>
      <c r="H18" s="86" t="s">
        <v>63</v>
      </c>
      <c r="I18" s="87">
        <v>0.21</v>
      </c>
      <c r="J18" s="87">
        <v>0.3</v>
      </c>
      <c r="K18" s="87">
        <v>0.3</v>
      </c>
      <c r="L18" s="87">
        <v>0.75</v>
      </c>
      <c r="M18" s="87">
        <f t="shared" si="0"/>
        <v>0.52500000000000002</v>
      </c>
      <c r="N18" s="184">
        <f>VLOOKUP(H18,'Existing Building EUI'!$B$7:$E$16,3,FALSE)</f>
        <v>149</v>
      </c>
      <c r="O18" s="184">
        <f>VLOOKUP(H18,'Existing Building EUI'!$B$7:$E$16,4,FALSE)</f>
        <v>204</v>
      </c>
      <c r="P18" s="185">
        <v>0.85</v>
      </c>
      <c r="Q18" s="87">
        <v>0.97</v>
      </c>
      <c r="R18" s="152">
        <v>0.08</v>
      </c>
      <c r="S18" s="88">
        <v>0.1</v>
      </c>
      <c r="T18" s="87">
        <v>0</v>
      </c>
      <c r="U18" s="87">
        <v>0</v>
      </c>
      <c r="V18" s="87">
        <f>P18/-2</f>
        <v>-0.42499999999999999</v>
      </c>
      <c r="W18" s="87">
        <f>Q18/-2</f>
        <v>-0.48499999999999999</v>
      </c>
      <c r="X18" s="89">
        <f t="shared" si="9"/>
        <v>22.350000000000009</v>
      </c>
      <c r="Y18" s="89">
        <f t="shared" si="1"/>
        <v>4.4699999999999989</v>
      </c>
      <c r="Z18" s="89">
        <f t="shared" si="12"/>
        <v>251.005</v>
      </c>
      <c r="AA18" s="89">
        <f t="shared" si="3"/>
        <v>255.86500000000001</v>
      </c>
      <c r="AB18" s="89">
        <f t="shared" si="10"/>
        <v>0</v>
      </c>
      <c r="AC18" s="89">
        <f t="shared" si="14"/>
        <v>0</v>
      </c>
      <c r="AD18" s="152">
        <f t="shared" si="13"/>
        <v>0.22562322946175634</v>
      </c>
      <c r="AE18" s="88">
        <f t="shared" si="6"/>
        <v>0.26250708215297441</v>
      </c>
    </row>
    <row r="19" spans="2:31" s="180" customFormat="1" ht="28.5" x14ac:dyDescent="0.25">
      <c r="B19" s="181" t="str">
        <f>C19&amp;"-"&amp;COUNTIF($C$6:C19,C19)</f>
        <v>Domestic Hot WaterStrip Mall-1</v>
      </c>
      <c r="C19" s="182" t="str">
        <f t="shared" si="7"/>
        <v>Domestic Hot WaterStrip Mall</v>
      </c>
      <c r="D19" s="183" t="str">
        <f t="shared" si="8"/>
        <v>Electric Water HeatersStrip Mall</v>
      </c>
      <c r="E19" s="85" t="s">
        <v>176</v>
      </c>
      <c r="F19" s="85" t="s">
        <v>85</v>
      </c>
      <c r="G19" s="85" t="s">
        <v>196</v>
      </c>
      <c r="H19" s="86" t="s">
        <v>51</v>
      </c>
      <c r="I19" s="87">
        <v>0.01</v>
      </c>
      <c r="J19" s="87">
        <v>0.05</v>
      </c>
      <c r="K19" s="87">
        <v>0.01</v>
      </c>
      <c r="L19" s="87">
        <v>0.1</v>
      </c>
      <c r="M19" s="87">
        <f t="shared" si="0"/>
        <v>5.5E-2</v>
      </c>
      <c r="N19" s="184">
        <f>VLOOKUP(H19,'Existing Building EUI'!$B$7:$E$16,3,FALSE)</f>
        <v>127</v>
      </c>
      <c r="O19" s="184">
        <f>VLOOKUP(H19,'Existing Building EUI'!$B$7:$E$16,4,FALSE)</f>
        <v>248</v>
      </c>
      <c r="P19" s="185">
        <v>0.02</v>
      </c>
      <c r="Q19" s="87">
        <v>0.2</v>
      </c>
      <c r="R19" s="152">
        <v>0</v>
      </c>
      <c r="S19" s="88">
        <v>0</v>
      </c>
      <c r="T19" s="87">
        <v>0</v>
      </c>
      <c r="U19" s="87">
        <v>0</v>
      </c>
      <c r="V19" s="87">
        <f>P19/-4</f>
        <v>-5.0000000000000001E-3</v>
      </c>
      <c r="W19" s="87">
        <f>Q19/-4</f>
        <v>-0.05</v>
      </c>
      <c r="X19" s="89">
        <f t="shared" si="9"/>
        <v>124.46</v>
      </c>
      <c r="Y19" s="89">
        <f t="shared" si="1"/>
        <v>101.6</v>
      </c>
      <c r="Z19" s="89">
        <f t="shared" si="12"/>
        <v>248.63499999999999</v>
      </c>
      <c r="AA19" s="89">
        <f t="shared" si="3"/>
        <v>254.35</v>
      </c>
      <c r="AB19" s="89">
        <f t="shared" si="10"/>
        <v>0</v>
      </c>
      <c r="AC19" s="89">
        <f t="shared" si="14"/>
        <v>0</v>
      </c>
      <c r="AD19" s="152">
        <f t="shared" si="13"/>
        <v>5.0800000000000792E-3</v>
      </c>
      <c r="AE19" s="88">
        <f t="shared" si="6"/>
        <v>5.0800000000000033E-2</v>
      </c>
    </row>
    <row r="20" spans="2:31" s="180" customFormat="1" ht="57" x14ac:dyDescent="0.25">
      <c r="B20" s="181" t="str">
        <f>C20&amp;"-"&amp;COUNTIF($C$6:C20,C20)</f>
        <v>Heating SystemStrip Mall-1</v>
      </c>
      <c r="C20" s="182" t="str">
        <f t="shared" si="7"/>
        <v>Heating SystemStrip Mall</v>
      </c>
      <c r="D20" s="183" t="str">
        <f t="shared" si="8"/>
        <v>Air Source Heat PumpsStrip Mall</v>
      </c>
      <c r="E20" s="85" t="s">
        <v>191</v>
      </c>
      <c r="F20" s="85" t="s">
        <v>89</v>
      </c>
      <c r="G20" s="85" t="s">
        <v>192</v>
      </c>
      <c r="H20" s="86" t="s">
        <v>51</v>
      </c>
      <c r="I20" s="87">
        <v>0.12</v>
      </c>
      <c r="J20" s="87">
        <v>0.25</v>
      </c>
      <c r="K20" s="87">
        <v>0.2</v>
      </c>
      <c r="L20" s="87">
        <v>0.55000000000000004</v>
      </c>
      <c r="M20" s="87">
        <f t="shared" si="0"/>
        <v>0.375</v>
      </c>
      <c r="N20" s="184">
        <f>VLOOKUP(H20,'Existing Building EUI'!$B$7:$E$16,3,FALSE)</f>
        <v>127</v>
      </c>
      <c r="O20" s="184">
        <f>VLOOKUP(H20,'Existing Building EUI'!$B$7:$E$16,4,FALSE)</f>
        <v>248</v>
      </c>
      <c r="P20" s="185">
        <v>0.8</v>
      </c>
      <c r="Q20" s="87">
        <v>0.97</v>
      </c>
      <c r="R20" s="152">
        <v>0.08</v>
      </c>
      <c r="S20" s="88">
        <v>0.1</v>
      </c>
      <c r="T20" s="87">
        <v>0</v>
      </c>
      <c r="U20" s="87">
        <v>0</v>
      </c>
      <c r="V20" s="87">
        <f>P20/-2</f>
        <v>-0.4</v>
      </c>
      <c r="W20" s="87">
        <f>Q20/-2</f>
        <v>-0.48499999999999999</v>
      </c>
      <c r="X20" s="89">
        <f t="shared" ref="X20" si="16">N20-(N20*P20)</f>
        <v>25.399999999999991</v>
      </c>
      <c r="Y20" s="89">
        <f t="shared" ref="Y20" si="17">N20-(N20*Q20)</f>
        <v>3.8100000000000023</v>
      </c>
      <c r="Z20" s="89">
        <f t="shared" ref="Z20" si="18">O20-((O20*R20)+(N20*V20))</f>
        <v>278.95999999999998</v>
      </c>
      <c r="AA20" s="89">
        <f t="shared" ref="AA20" si="19">O20-((O20*S20)+(N20*W20))</f>
        <v>284.79500000000002</v>
      </c>
      <c r="AB20" s="89">
        <f t="shared" ref="AB20" si="20">(T20*N20)*-1</f>
        <v>0</v>
      </c>
      <c r="AC20" s="89">
        <f t="shared" ref="AC20" si="21">U20*N20</f>
        <v>0</v>
      </c>
      <c r="AD20" s="152">
        <f t="shared" ref="AD20" si="22">(SUM(X20,Z20,AB20)-SUM(N20:O20))/SUM(N20:O20)*-1</f>
        <v>0.18837333333333345</v>
      </c>
      <c r="AE20" s="88">
        <f t="shared" ref="AE20" si="23">(SUM(Y20,AA20,AC20)-SUM(N20:O20))/SUM(N20:O20)*-1</f>
        <v>0.23038666666666663</v>
      </c>
    </row>
    <row r="21" spans="2:31" s="180" customFormat="1" ht="42.75" x14ac:dyDescent="0.25">
      <c r="B21" s="181" t="str">
        <f>C21&amp;"-"&amp;COUNTIF($C$6:C21,C21)</f>
        <v>Domestic Hot WaterMixed Use-1</v>
      </c>
      <c r="C21" s="182" t="str">
        <f t="shared" si="7"/>
        <v>Domestic Hot WaterMixed Use</v>
      </c>
      <c r="D21" s="183" t="str">
        <f t="shared" si="8"/>
        <v>Heat Pump Water HeatersMixed Use</v>
      </c>
      <c r="E21" s="85" t="s">
        <v>174</v>
      </c>
      <c r="F21" s="85" t="s">
        <v>85</v>
      </c>
      <c r="G21" s="85" t="s">
        <v>193</v>
      </c>
      <c r="H21" s="86" t="s">
        <v>1</v>
      </c>
      <c r="I21" s="87">
        <v>0.11</v>
      </c>
      <c r="J21" s="87">
        <v>0.2</v>
      </c>
      <c r="K21" s="87">
        <v>0.21</v>
      </c>
      <c r="L21" s="87">
        <v>0.3</v>
      </c>
      <c r="M21" s="87">
        <f t="shared" si="0"/>
        <v>0.255</v>
      </c>
      <c r="N21" s="184">
        <f>VLOOKUP(H21,'Existing Building EUI'!$B$7:$E$16,3,FALSE)</f>
        <v>268</v>
      </c>
      <c r="O21" s="184">
        <f>VLOOKUP(H21,'Existing Building EUI'!$B$7:$E$16,4,FALSE)</f>
        <v>322</v>
      </c>
      <c r="P21" s="185">
        <v>0.2</v>
      </c>
      <c r="Q21" s="87">
        <v>0.4</v>
      </c>
      <c r="R21" s="152">
        <v>0</v>
      </c>
      <c r="S21" s="88">
        <v>0</v>
      </c>
      <c r="T21" s="87">
        <v>0</v>
      </c>
      <c r="U21" s="87">
        <v>0</v>
      </c>
      <c r="V21" s="87">
        <f>P21/-4</f>
        <v>-0.05</v>
      </c>
      <c r="W21" s="87">
        <f>Q21/-4</f>
        <v>-0.1</v>
      </c>
      <c r="X21" s="89">
        <f t="shared" ref="X21:X43" si="24">N21-(N21*P21)</f>
        <v>214.4</v>
      </c>
      <c r="Y21" s="89">
        <f t="shared" ref="Y21:Y43" si="25">N21-(N21*Q21)</f>
        <v>160.80000000000001</v>
      </c>
      <c r="Z21" s="89">
        <f t="shared" ref="Z21:Z43" si="26">O21-((O21*R21)+(N21*V21))</f>
        <v>335.4</v>
      </c>
      <c r="AA21" s="89">
        <f t="shared" ref="AA21:AA43" si="27">O21-((O21*S21)+(N21*W21))</f>
        <v>348.8</v>
      </c>
      <c r="AB21" s="89">
        <f t="shared" ref="AB21:AB43" si="28">(T21*N21)*-1</f>
        <v>0</v>
      </c>
      <c r="AC21" s="89">
        <f t="shared" ref="AC21" si="29">U21*N21</f>
        <v>0</v>
      </c>
      <c r="AD21" s="152">
        <f t="shared" ref="AD21:AD43" si="30">(SUM(X21,Z21,AB21)-SUM(N21:O21))/SUM(N21:O21)*-1</f>
        <v>6.8135593220339061E-2</v>
      </c>
      <c r="AE21" s="88">
        <f t="shared" ref="AE21:AE43" si="31">(SUM(Y21,AA21,AC21)-SUM(N21:O21))/SUM(N21:O21)*-1</f>
        <v>0.13627118644067793</v>
      </c>
    </row>
    <row r="22" spans="2:31" s="180" customFormat="1" ht="28.5" x14ac:dyDescent="0.25">
      <c r="B22" s="181" t="str">
        <f>C22&amp;"-"&amp;COUNTIF($C$6:C22,C22)</f>
        <v>Heating SystemMixed Use-1</v>
      </c>
      <c r="C22" s="182" t="str">
        <f t="shared" si="7"/>
        <v>Heating SystemMixed Use</v>
      </c>
      <c r="D22" s="183" t="str">
        <f t="shared" si="8"/>
        <v>Low Carbon District Energy SystemMixed Use</v>
      </c>
      <c r="E22" s="85" t="s">
        <v>188</v>
      </c>
      <c r="F22" s="85" t="s">
        <v>89</v>
      </c>
      <c r="G22" s="199" t="s">
        <v>300</v>
      </c>
      <c r="H22" s="86" t="s">
        <v>1</v>
      </c>
      <c r="I22" s="87">
        <v>0.21</v>
      </c>
      <c r="J22" s="87">
        <v>0.3</v>
      </c>
      <c r="K22" s="87">
        <v>0.2</v>
      </c>
      <c r="L22" s="87">
        <v>0.4</v>
      </c>
      <c r="M22" s="87">
        <f t="shared" si="0"/>
        <v>0.30000000000000004</v>
      </c>
      <c r="N22" s="184">
        <f>VLOOKUP(H22,'Existing Building EUI'!$B$7:$E$16,3,FALSE)</f>
        <v>268</v>
      </c>
      <c r="O22" s="184">
        <f>VLOOKUP(H22,'Existing Building EUI'!$B$7:$E$16,4,FALSE)</f>
        <v>322</v>
      </c>
      <c r="P22" s="185">
        <v>0.7</v>
      </c>
      <c r="Q22" s="87">
        <v>0.8</v>
      </c>
      <c r="R22" s="152">
        <v>0.08</v>
      </c>
      <c r="S22" s="88">
        <v>0.1</v>
      </c>
      <c r="T22" s="87">
        <f>P22*-0.7</f>
        <v>-0.48999999999999994</v>
      </c>
      <c r="U22" s="87">
        <f>Q22*-0.7</f>
        <v>-0.55999999999999994</v>
      </c>
      <c r="V22" s="87">
        <v>0</v>
      </c>
      <c r="W22" s="87">
        <v>0</v>
      </c>
      <c r="X22" s="89">
        <f t="shared" si="24"/>
        <v>80.400000000000006</v>
      </c>
      <c r="Y22" s="89">
        <f t="shared" si="25"/>
        <v>53.599999999999994</v>
      </c>
      <c r="Z22" s="89">
        <f t="shared" si="26"/>
        <v>296.24</v>
      </c>
      <c r="AA22" s="89">
        <f t="shared" si="27"/>
        <v>289.8</v>
      </c>
      <c r="AB22" s="89">
        <f t="shared" si="28"/>
        <v>131.32</v>
      </c>
      <c r="AC22" s="89">
        <f>(U22*N22)*-1</f>
        <v>150.07999999999998</v>
      </c>
      <c r="AD22" s="152">
        <f t="shared" si="30"/>
        <v>0.13905084745762716</v>
      </c>
      <c r="AE22" s="88">
        <f t="shared" si="31"/>
        <v>0.1635932203389831</v>
      </c>
    </row>
    <row r="23" spans="2:31" s="180" customFormat="1" ht="28.5" x14ac:dyDescent="0.25">
      <c r="B23" s="181" t="str">
        <f>C23&amp;"-"&amp;COUNTIF($C$6:C23,C23)</f>
        <v>Heating SystemMixed Use-2</v>
      </c>
      <c r="C23" s="182" t="str">
        <f t="shared" si="7"/>
        <v>Heating SystemMixed Use</v>
      </c>
      <c r="D23" s="183" t="str">
        <f t="shared" si="8"/>
        <v>Air Source Heat PumpsMixed Use</v>
      </c>
      <c r="E23" s="85" t="s">
        <v>189</v>
      </c>
      <c r="F23" s="85" t="s">
        <v>89</v>
      </c>
      <c r="G23" s="85" t="s">
        <v>192</v>
      </c>
      <c r="H23" s="86" t="s">
        <v>1</v>
      </c>
      <c r="I23" s="87">
        <v>0.21</v>
      </c>
      <c r="J23" s="87">
        <v>0.3</v>
      </c>
      <c r="K23" s="87">
        <v>0.2</v>
      </c>
      <c r="L23" s="87">
        <v>0.4</v>
      </c>
      <c r="M23" s="87">
        <f t="shared" si="0"/>
        <v>0.30000000000000004</v>
      </c>
      <c r="N23" s="184">
        <f>VLOOKUP(H23,'Existing Building EUI'!$B$7:$E$16,3,FALSE)</f>
        <v>268</v>
      </c>
      <c r="O23" s="184">
        <f>VLOOKUP(H23,'Existing Building EUI'!$B$7:$E$16,4,FALSE)</f>
        <v>322</v>
      </c>
      <c r="P23" s="185">
        <v>0.7</v>
      </c>
      <c r="Q23" s="87">
        <v>0.8</v>
      </c>
      <c r="R23" s="152">
        <v>0.08</v>
      </c>
      <c r="S23" s="88">
        <v>0.1</v>
      </c>
      <c r="T23" s="87">
        <v>0</v>
      </c>
      <c r="U23" s="87">
        <v>0</v>
      </c>
      <c r="V23" s="87">
        <f t="shared" ref="V23:W25" si="32">P23/-2</f>
        <v>-0.35</v>
      </c>
      <c r="W23" s="87">
        <f t="shared" si="32"/>
        <v>-0.4</v>
      </c>
      <c r="X23" s="89">
        <f t="shared" si="24"/>
        <v>80.400000000000006</v>
      </c>
      <c r="Y23" s="89">
        <f t="shared" si="25"/>
        <v>53.599999999999994</v>
      </c>
      <c r="Z23" s="89">
        <f t="shared" si="26"/>
        <v>390.03999999999996</v>
      </c>
      <c r="AA23" s="89">
        <f t="shared" si="27"/>
        <v>397</v>
      </c>
      <c r="AB23" s="89">
        <f t="shared" si="28"/>
        <v>0</v>
      </c>
      <c r="AC23" s="89">
        <f t="shared" ref="AC23:AC26" si="33">U23*N23</f>
        <v>0</v>
      </c>
      <c r="AD23" s="152">
        <f t="shared" si="30"/>
        <v>0.20264406779661026</v>
      </c>
      <c r="AE23" s="88">
        <f t="shared" si="31"/>
        <v>0.23627118644067793</v>
      </c>
    </row>
    <row r="24" spans="2:31" s="180" customFormat="1" ht="28.5" x14ac:dyDescent="0.25">
      <c r="B24" s="181" t="str">
        <f>C24&amp;"-"&amp;COUNTIF($C$6:C24,C24)</f>
        <v>Heating SystemMixed Use-3</v>
      </c>
      <c r="C24" s="182" t="str">
        <f t="shared" si="7"/>
        <v>Heating SystemMixed Use</v>
      </c>
      <c r="D24" s="183" t="str">
        <f t="shared" si="8"/>
        <v>Ground Source Heat PumpsMixed Use</v>
      </c>
      <c r="E24" s="85" t="s">
        <v>190</v>
      </c>
      <c r="F24" s="85" t="s">
        <v>89</v>
      </c>
      <c r="G24" s="85" t="s">
        <v>130</v>
      </c>
      <c r="H24" s="86" t="s">
        <v>1</v>
      </c>
      <c r="I24" s="87">
        <v>0.21</v>
      </c>
      <c r="J24" s="87">
        <v>0.3</v>
      </c>
      <c r="K24" s="87">
        <v>0.2</v>
      </c>
      <c r="L24" s="87">
        <v>0.4</v>
      </c>
      <c r="M24" s="87">
        <f t="shared" si="0"/>
        <v>0.30000000000000004</v>
      </c>
      <c r="N24" s="184">
        <f>VLOOKUP(H24,'Existing Building EUI'!$B$7:$E$16,3,FALSE)</f>
        <v>268</v>
      </c>
      <c r="O24" s="184">
        <f>VLOOKUP(H24,'Existing Building EUI'!$B$7:$E$16,4,FALSE)</f>
        <v>322</v>
      </c>
      <c r="P24" s="185">
        <v>0.7</v>
      </c>
      <c r="Q24" s="87">
        <v>0.8</v>
      </c>
      <c r="R24" s="152">
        <v>0.08</v>
      </c>
      <c r="S24" s="88">
        <v>0.1</v>
      </c>
      <c r="T24" s="87">
        <v>0</v>
      </c>
      <c r="U24" s="87">
        <v>0</v>
      </c>
      <c r="V24" s="87">
        <f>P24/-3</f>
        <v>-0.23333333333333331</v>
      </c>
      <c r="W24" s="87">
        <f>Q24/-3</f>
        <v>-0.26666666666666666</v>
      </c>
      <c r="X24" s="89">
        <f t="shared" si="24"/>
        <v>80.400000000000006</v>
      </c>
      <c r="Y24" s="89">
        <f t="shared" si="25"/>
        <v>53.599999999999994</v>
      </c>
      <c r="Z24" s="89">
        <f t="shared" si="26"/>
        <v>358.77333333333331</v>
      </c>
      <c r="AA24" s="89">
        <f t="shared" si="27"/>
        <v>361.26666666666665</v>
      </c>
      <c r="AB24" s="89">
        <f t="shared" si="28"/>
        <v>0</v>
      </c>
      <c r="AC24" s="89">
        <f t="shared" si="33"/>
        <v>0</v>
      </c>
      <c r="AD24" s="152">
        <f t="shared" si="30"/>
        <v>0.2556384180790961</v>
      </c>
      <c r="AE24" s="88">
        <f t="shared" si="31"/>
        <v>0.29683615819209036</v>
      </c>
    </row>
    <row r="25" spans="2:31" s="180" customFormat="1" ht="42.75" x14ac:dyDescent="0.25">
      <c r="B25" s="181" t="str">
        <f>C25&amp;"-"&amp;COUNTIF($C$6:C25,C25)</f>
        <v>Gas AppliancesMixed Use-1</v>
      </c>
      <c r="C25" s="182" t="str">
        <f t="shared" si="7"/>
        <v>Gas AppliancesMixed Use</v>
      </c>
      <c r="D25" s="183" t="str">
        <f t="shared" si="8"/>
        <v>Electric and Induction Ranges &amp; Heat Pump Electric DryersMixed Use</v>
      </c>
      <c r="E25" s="85" t="s">
        <v>181</v>
      </c>
      <c r="F25" s="85" t="s">
        <v>100</v>
      </c>
      <c r="G25" s="85" t="s">
        <v>195</v>
      </c>
      <c r="H25" s="86" t="s">
        <v>1</v>
      </c>
      <c r="I25" s="87">
        <v>0.01</v>
      </c>
      <c r="J25" s="87">
        <v>0.1</v>
      </c>
      <c r="K25" s="87">
        <v>0.05</v>
      </c>
      <c r="L25" s="87">
        <v>0.25</v>
      </c>
      <c r="M25" s="87">
        <f t="shared" si="0"/>
        <v>0.15</v>
      </c>
      <c r="N25" s="184">
        <f>VLOOKUP(H25,'Existing Building EUI'!$B$7:$E$16,3,FALSE)</f>
        <v>268</v>
      </c>
      <c r="O25" s="184">
        <f>VLOOKUP(H25,'Existing Building EUI'!$B$7:$E$16,4,FALSE)</f>
        <v>322</v>
      </c>
      <c r="P25" s="185">
        <v>0.01</v>
      </c>
      <c r="Q25" s="87">
        <v>0.15</v>
      </c>
      <c r="R25" s="152">
        <v>0</v>
      </c>
      <c r="S25" s="88">
        <v>0</v>
      </c>
      <c r="T25" s="87">
        <v>0</v>
      </c>
      <c r="U25" s="87">
        <v>0</v>
      </c>
      <c r="V25" s="87">
        <f t="shared" si="32"/>
        <v>-5.0000000000000001E-3</v>
      </c>
      <c r="W25" s="87">
        <f t="shared" si="32"/>
        <v>-7.4999999999999997E-2</v>
      </c>
      <c r="X25" s="89">
        <f t="shared" si="24"/>
        <v>265.32</v>
      </c>
      <c r="Y25" s="89">
        <f t="shared" si="25"/>
        <v>227.8</v>
      </c>
      <c r="Z25" s="89">
        <f t="shared" si="26"/>
        <v>323.33999999999997</v>
      </c>
      <c r="AA25" s="89">
        <f t="shared" si="27"/>
        <v>342.1</v>
      </c>
      <c r="AB25" s="89">
        <f t="shared" si="28"/>
        <v>0</v>
      </c>
      <c r="AC25" s="89">
        <f t="shared" si="33"/>
        <v>0</v>
      </c>
      <c r="AD25" s="152">
        <f t="shared" si="30"/>
        <v>2.2711864406780202E-3</v>
      </c>
      <c r="AE25" s="88">
        <f t="shared" si="31"/>
        <v>3.4067796610169336E-2</v>
      </c>
    </row>
    <row r="26" spans="2:31" s="180" customFormat="1" ht="42.75" x14ac:dyDescent="0.25">
      <c r="B26" s="181" t="str">
        <f>C26&amp;"-"&amp;COUNTIF($C$6:C26,C26)</f>
        <v>Domestic Hot WaterCondominium-1</v>
      </c>
      <c r="C26" s="182" t="str">
        <f t="shared" si="7"/>
        <v>Domestic Hot WaterCondominium</v>
      </c>
      <c r="D26" s="183" t="str">
        <f t="shared" si="8"/>
        <v>Heat Pump Water HeatersCondominium</v>
      </c>
      <c r="E26" s="85" t="s">
        <v>182</v>
      </c>
      <c r="F26" s="85" t="s">
        <v>85</v>
      </c>
      <c r="G26" s="85" t="s">
        <v>193</v>
      </c>
      <c r="H26" s="86" t="s">
        <v>54</v>
      </c>
      <c r="I26" s="90">
        <v>0.01</v>
      </c>
      <c r="J26" s="90">
        <v>0.1</v>
      </c>
      <c r="K26" s="90">
        <v>0.01</v>
      </c>
      <c r="L26" s="90">
        <v>0.1</v>
      </c>
      <c r="M26" s="87">
        <f t="shared" si="0"/>
        <v>5.5E-2</v>
      </c>
      <c r="N26" s="184">
        <f>VLOOKUP(H26,'Existing Building EUI'!$B$7:$E$16,3,FALSE)</f>
        <v>215</v>
      </c>
      <c r="O26" s="184">
        <f>VLOOKUP(H26,'Existing Building EUI'!$B$7:$E$16,4,FALSE)</f>
        <v>93</v>
      </c>
      <c r="P26" s="185">
        <v>0.01</v>
      </c>
      <c r="Q26" s="87">
        <v>0.2</v>
      </c>
      <c r="R26" s="152">
        <v>0</v>
      </c>
      <c r="S26" s="88">
        <v>0</v>
      </c>
      <c r="T26" s="87">
        <v>0</v>
      </c>
      <c r="U26" s="87">
        <v>0</v>
      </c>
      <c r="V26" s="87">
        <f>P26/-4</f>
        <v>-2.5000000000000001E-3</v>
      </c>
      <c r="W26" s="87">
        <f>Q26/-4</f>
        <v>-0.05</v>
      </c>
      <c r="X26" s="89">
        <f t="shared" si="24"/>
        <v>212.85</v>
      </c>
      <c r="Y26" s="89">
        <f t="shared" si="25"/>
        <v>172</v>
      </c>
      <c r="Z26" s="89">
        <f t="shared" si="26"/>
        <v>93.537499999999994</v>
      </c>
      <c r="AA26" s="89">
        <f t="shared" si="27"/>
        <v>103.75</v>
      </c>
      <c r="AB26" s="89">
        <f t="shared" si="28"/>
        <v>0</v>
      </c>
      <c r="AC26" s="89">
        <f t="shared" si="33"/>
        <v>0</v>
      </c>
      <c r="AD26" s="152">
        <f t="shared" si="30"/>
        <v>5.2353896103896477E-3</v>
      </c>
      <c r="AE26" s="88">
        <f t="shared" si="31"/>
        <v>0.10470779220779221</v>
      </c>
    </row>
    <row r="27" spans="2:31" s="180" customFormat="1" ht="28.5" x14ac:dyDescent="0.25">
      <c r="B27" s="181" t="str">
        <f>C27&amp;"-"&amp;COUNTIF($C$6:C27,C27)</f>
        <v>Heating SystemCondominium-1</v>
      </c>
      <c r="C27" s="182" t="str">
        <f t="shared" si="7"/>
        <v>Heating SystemCondominium</v>
      </c>
      <c r="D27" s="183" t="str">
        <f t="shared" si="8"/>
        <v>Low Carbon District Energy SystemCondominium</v>
      </c>
      <c r="E27" s="85" t="s">
        <v>188</v>
      </c>
      <c r="F27" s="85" t="s">
        <v>89</v>
      </c>
      <c r="G27" s="199" t="s">
        <v>300</v>
      </c>
      <c r="H27" s="86" t="s">
        <v>54</v>
      </c>
      <c r="I27" s="87">
        <v>0.11</v>
      </c>
      <c r="J27" s="87">
        <v>0.2</v>
      </c>
      <c r="K27" s="87">
        <v>0.21</v>
      </c>
      <c r="L27" s="87">
        <v>0.3</v>
      </c>
      <c r="M27" s="87">
        <f t="shared" si="0"/>
        <v>0.255</v>
      </c>
      <c r="N27" s="184">
        <f>VLOOKUP(H27,'Existing Building EUI'!$B$7:$E$16,3,FALSE)</f>
        <v>215</v>
      </c>
      <c r="O27" s="184">
        <f>VLOOKUP(H27,'Existing Building EUI'!$B$7:$E$16,4,FALSE)</f>
        <v>93</v>
      </c>
      <c r="P27" s="185">
        <v>0.5</v>
      </c>
      <c r="Q27" s="87">
        <v>0.6</v>
      </c>
      <c r="R27" s="152">
        <v>0.03</v>
      </c>
      <c r="S27" s="88">
        <v>0.05</v>
      </c>
      <c r="T27" s="87">
        <f>P27*-0.7</f>
        <v>-0.35</v>
      </c>
      <c r="U27" s="87">
        <f>Q27*-0.7</f>
        <v>-0.42</v>
      </c>
      <c r="V27" s="87">
        <v>0</v>
      </c>
      <c r="W27" s="87">
        <v>0</v>
      </c>
      <c r="X27" s="89">
        <f t="shared" si="24"/>
        <v>107.5</v>
      </c>
      <c r="Y27" s="89">
        <f t="shared" si="25"/>
        <v>86</v>
      </c>
      <c r="Z27" s="89">
        <f t="shared" si="26"/>
        <v>90.21</v>
      </c>
      <c r="AA27" s="89">
        <f t="shared" si="27"/>
        <v>88.35</v>
      </c>
      <c r="AB27" s="89">
        <f t="shared" si="28"/>
        <v>75.25</v>
      </c>
      <c r="AC27" s="89">
        <f>(U27*N27)*-1</f>
        <v>90.3</v>
      </c>
      <c r="AD27" s="152">
        <f t="shared" si="30"/>
        <v>0.11376623376623383</v>
      </c>
      <c r="AE27" s="88">
        <f t="shared" si="31"/>
        <v>0.14074675324675331</v>
      </c>
    </row>
    <row r="28" spans="2:31" s="180" customFormat="1" ht="28.5" x14ac:dyDescent="0.25">
      <c r="B28" s="181" t="str">
        <f>C28&amp;"-"&amp;COUNTIF($C$6:C28,C28)</f>
        <v>Heating SystemCondominium-2</v>
      </c>
      <c r="C28" s="182" t="str">
        <f>F28&amp;H28</f>
        <v>Heating SystemCondominium</v>
      </c>
      <c r="D28" s="183" t="str">
        <f t="shared" si="8"/>
        <v>Air Source Heat PumpsCondominium</v>
      </c>
      <c r="E28" s="85" t="s">
        <v>189</v>
      </c>
      <c r="F28" s="85" t="s">
        <v>89</v>
      </c>
      <c r="G28" s="85" t="s">
        <v>192</v>
      </c>
      <c r="H28" s="86" t="s">
        <v>54</v>
      </c>
      <c r="I28" s="87">
        <v>0.11</v>
      </c>
      <c r="J28" s="87">
        <v>0.2</v>
      </c>
      <c r="K28" s="87">
        <v>0.21</v>
      </c>
      <c r="L28" s="87">
        <v>0.3</v>
      </c>
      <c r="M28" s="87">
        <f t="shared" si="0"/>
        <v>0.255</v>
      </c>
      <c r="N28" s="184">
        <f>VLOOKUP(H28,'Existing Building EUI'!$B$7:$E$16,3,FALSE)</f>
        <v>215</v>
      </c>
      <c r="O28" s="184">
        <f>VLOOKUP(H28,'Existing Building EUI'!$B$7:$E$16,4,FALSE)</f>
        <v>93</v>
      </c>
      <c r="P28" s="185">
        <v>0.5</v>
      </c>
      <c r="Q28" s="87">
        <v>0.6</v>
      </c>
      <c r="R28" s="152">
        <v>0.03</v>
      </c>
      <c r="S28" s="88">
        <v>0.05</v>
      </c>
      <c r="T28" s="87">
        <v>0</v>
      </c>
      <c r="U28" s="87">
        <v>0</v>
      </c>
      <c r="V28" s="87">
        <f t="shared" ref="V28:W30" si="34">P28/-2</f>
        <v>-0.25</v>
      </c>
      <c r="W28" s="87">
        <f t="shared" si="34"/>
        <v>-0.3</v>
      </c>
      <c r="X28" s="89">
        <f t="shared" si="24"/>
        <v>107.5</v>
      </c>
      <c r="Y28" s="89">
        <f t="shared" si="25"/>
        <v>86</v>
      </c>
      <c r="Z28" s="89">
        <f t="shared" si="26"/>
        <v>143.96</v>
      </c>
      <c r="AA28" s="89">
        <f t="shared" si="27"/>
        <v>152.85</v>
      </c>
      <c r="AB28" s="89">
        <f t="shared" si="28"/>
        <v>0</v>
      </c>
      <c r="AC28" s="89">
        <f t="shared" ref="AC28:AC31" si="35">U28*N28</f>
        <v>0</v>
      </c>
      <c r="AD28" s="152">
        <f t="shared" si="30"/>
        <v>0.18357142857142855</v>
      </c>
      <c r="AE28" s="88">
        <f t="shared" si="31"/>
        <v>0.22451298701298703</v>
      </c>
    </row>
    <row r="29" spans="2:31" s="180" customFormat="1" ht="28.5" x14ac:dyDescent="0.25">
      <c r="B29" s="181" t="str">
        <f>C29&amp;"-"&amp;COUNTIF($C$6:C29,C29)</f>
        <v>Heating SystemCondominium-3</v>
      </c>
      <c r="C29" s="182" t="str">
        <f t="shared" si="7"/>
        <v>Heating SystemCondominium</v>
      </c>
      <c r="D29" s="183" t="str">
        <f t="shared" si="8"/>
        <v>Ground Source Heat PumpsCondominium</v>
      </c>
      <c r="E29" s="85" t="s">
        <v>190</v>
      </c>
      <c r="F29" s="85" t="s">
        <v>89</v>
      </c>
      <c r="G29" s="85" t="s">
        <v>130</v>
      </c>
      <c r="H29" s="86" t="s">
        <v>54</v>
      </c>
      <c r="I29" s="87">
        <v>0.11</v>
      </c>
      <c r="J29" s="87">
        <v>0.2</v>
      </c>
      <c r="K29" s="87">
        <v>0.21</v>
      </c>
      <c r="L29" s="87">
        <v>0.3</v>
      </c>
      <c r="M29" s="87">
        <f t="shared" si="0"/>
        <v>0.255</v>
      </c>
      <c r="N29" s="184">
        <f>VLOOKUP(H29,'Existing Building EUI'!$B$7:$E$16,3,FALSE)</f>
        <v>215</v>
      </c>
      <c r="O29" s="184">
        <f>VLOOKUP(H29,'Existing Building EUI'!$B$7:$E$16,4,FALSE)</f>
        <v>93</v>
      </c>
      <c r="P29" s="185">
        <v>0.5</v>
      </c>
      <c r="Q29" s="87">
        <v>0.6</v>
      </c>
      <c r="R29" s="152">
        <v>0.03</v>
      </c>
      <c r="S29" s="88">
        <v>0.05</v>
      </c>
      <c r="T29" s="87">
        <v>0</v>
      </c>
      <c r="U29" s="87">
        <v>0</v>
      </c>
      <c r="V29" s="87">
        <f>P29/-3</f>
        <v>-0.16666666666666666</v>
      </c>
      <c r="W29" s="87">
        <f>Q29/-3</f>
        <v>-0.19999999999999998</v>
      </c>
      <c r="X29" s="89">
        <f t="shared" si="24"/>
        <v>107.5</v>
      </c>
      <c r="Y29" s="89">
        <f t="shared" si="25"/>
        <v>86</v>
      </c>
      <c r="Z29" s="89">
        <f t="shared" si="26"/>
        <v>126.04333333333332</v>
      </c>
      <c r="AA29" s="89">
        <f t="shared" si="27"/>
        <v>131.35</v>
      </c>
      <c r="AB29" s="89">
        <f t="shared" si="28"/>
        <v>0</v>
      </c>
      <c r="AC29" s="89">
        <f t="shared" si="35"/>
        <v>0</v>
      </c>
      <c r="AD29" s="152">
        <f t="shared" si="30"/>
        <v>0.24174242424242429</v>
      </c>
      <c r="AE29" s="88">
        <f t="shared" si="31"/>
        <v>0.29431818181818181</v>
      </c>
    </row>
    <row r="30" spans="2:31" s="180" customFormat="1" ht="42.75" x14ac:dyDescent="0.25">
      <c r="B30" s="181" t="str">
        <f>C30&amp;"-"&amp;COUNTIF($C$6:C30,C30)</f>
        <v>Gas AppliancesCondominium-1</v>
      </c>
      <c r="C30" s="182" t="str">
        <f t="shared" si="7"/>
        <v>Gas AppliancesCondominium</v>
      </c>
      <c r="D30" s="183" t="str">
        <f t="shared" si="8"/>
        <v>Electric and Induction Ranges &amp; Heat Pump Electric DryersCondominium</v>
      </c>
      <c r="E30" s="85" t="s">
        <v>181</v>
      </c>
      <c r="F30" s="85" t="s">
        <v>100</v>
      </c>
      <c r="G30" s="85" t="s">
        <v>195</v>
      </c>
      <c r="H30" s="86" t="s">
        <v>54</v>
      </c>
      <c r="I30" s="87">
        <v>0.01</v>
      </c>
      <c r="J30" s="87">
        <v>0.1</v>
      </c>
      <c r="K30" s="87">
        <v>0.05</v>
      </c>
      <c r="L30" s="87">
        <v>0.2</v>
      </c>
      <c r="M30" s="87">
        <f t="shared" ref="M30:M43" si="36">AVERAGE(K30:L30)</f>
        <v>0.125</v>
      </c>
      <c r="N30" s="184">
        <f>VLOOKUP(H30,'Existing Building EUI'!$B$7:$E$16,3,FALSE)</f>
        <v>215</v>
      </c>
      <c r="O30" s="184">
        <f>VLOOKUP(H30,'Existing Building EUI'!$B$7:$E$16,4,FALSE)</f>
        <v>93</v>
      </c>
      <c r="P30" s="185">
        <v>0.02</v>
      </c>
      <c r="Q30" s="87">
        <v>0.15</v>
      </c>
      <c r="R30" s="152">
        <v>0</v>
      </c>
      <c r="S30" s="88">
        <v>0</v>
      </c>
      <c r="T30" s="87">
        <v>0</v>
      </c>
      <c r="U30" s="87">
        <v>0</v>
      </c>
      <c r="V30" s="87">
        <f t="shared" si="34"/>
        <v>-0.01</v>
      </c>
      <c r="W30" s="87">
        <f t="shared" si="34"/>
        <v>-7.4999999999999997E-2</v>
      </c>
      <c r="X30" s="89">
        <f t="shared" si="24"/>
        <v>210.7</v>
      </c>
      <c r="Y30" s="89">
        <f t="shared" si="25"/>
        <v>182.75</v>
      </c>
      <c r="Z30" s="89">
        <f t="shared" si="26"/>
        <v>95.15</v>
      </c>
      <c r="AA30" s="89">
        <f t="shared" si="27"/>
        <v>109.125</v>
      </c>
      <c r="AB30" s="89">
        <f t="shared" si="28"/>
        <v>0</v>
      </c>
      <c r="AC30" s="89">
        <f t="shared" si="35"/>
        <v>0</v>
      </c>
      <c r="AD30" s="152">
        <f t="shared" si="30"/>
        <v>6.9805194805194065E-3</v>
      </c>
      <c r="AE30" s="88">
        <f t="shared" si="31"/>
        <v>5.2353896103896104E-2</v>
      </c>
    </row>
    <row r="31" spans="2:31" s="180" customFormat="1" ht="42.75" x14ac:dyDescent="0.25">
      <c r="B31" s="181" t="str">
        <f>C31&amp;"-"&amp;COUNTIF($C$6:C31,C31)</f>
        <v>Domestic Hot WaterLow Rise Rental Apartment-1</v>
      </c>
      <c r="C31" s="182" t="str">
        <f t="shared" si="7"/>
        <v>Domestic Hot WaterLow Rise Rental Apartment</v>
      </c>
      <c r="D31" s="183" t="str">
        <f t="shared" si="8"/>
        <v>Heat Pump Water HeatersLow Rise Rental Apartment</v>
      </c>
      <c r="E31" s="85" t="s">
        <v>182</v>
      </c>
      <c r="F31" s="85" t="s">
        <v>85</v>
      </c>
      <c r="G31" s="85" t="s">
        <v>193</v>
      </c>
      <c r="H31" s="86" t="s">
        <v>57</v>
      </c>
      <c r="I31" s="87">
        <v>0.11</v>
      </c>
      <c r="J31" s="87">
        <v>0.2</v>
      </c>
      <c r="K31" s="87">
        <v>0.21</v>
      </c>
      <c r="L31" s="87">
        <v>0.3</v>
      </c>
      <c r="M31" s="87">
        <f t="shared" si="36"/>
        <v>0.255</v>
      </c>
      <c r="N31" s="184">
        <f>VLOOKUP(H31,'Existing Building EUI'!$B$7:$E$16,3,FALSE)</f>
        <v>234</v>
      </c>
      <c r="O31" s="184">
        <f>VLOOKUP(H31,'Existing Building EUI'!$B$7:$E$16,4,FALSE)</f>
        <v>107</v>
      </c>
      <c r="P31" s="185">
        <v>0.22</v>
      </c>
      <c r="Q31" s="87">
        <v>0.3</v>
      </c>
      <c r="R31" s="152">
        <v>0</v>
      </c>
      <c r="S31" s="88">
        <v>0</v>
      </c>
      <c r="T31" s="87">
        <v>0</v>
      </c>
      <c r="U31" s="87">
        <v>0</v>
      </c>
      <c r="V31" s="87">
        <f>P31/-4</f>
        <v>-5.5E-2</v>
      </c>
      <c r="W31" s="87">
        <f>Q31/-4</f>
        <v>-7.4999999999999997E-2</v>
      </c>
      <c r="X31" s="89">
        <f t="shared" si="24"/>
        <v>182.52</v>
      </c>
      <c r="Y31" s="89">
        <f t="shared" si="25"/>
        <v>163.80000000000001</v>
      </c>
      <c r="Z31" s="89">
        <f t="shared" si="26"/>
        <v>119.87</v>
      </c>
      <c r="AA31" s="89">
        <f t="shared" si="27"/>
        <v>124.55</v>
      </c>
      <c r="AB31" s="89">
        <f t="shared" si="28"/>
        <v>0</v>
      </c>
      <c r="AC31" s="89">
        <f t="shared" si="35"/>
        <v>0</v>
      </c>
      <c r="AD31" s="152">
        <f t="shared" si="30"/>
        <v>0.11322580645161294</v>
      </c>
      <c r="AE31" s="88">
        <f t="shared" si="31"/>
        <v>0.15439882697947208</v>
      </c>
    </row>
    <row r="32" spans="2:31" s="180" customFormat="1" ht="57" x14ac:dyDescent="0.25">
      <c r="B32" s="181" t="str">
        <f>C32&amp;"-"&amp;COUNTIF($C$6:C32,C32)</f>
        <v>Heating SystemLow Rise Rental Apartment-1</v>
      </c>
      <c r="C32" s="182" t="str">
        <f t="shared" si="7"/>
        <v>Heating SystemLow Rise Rental Apartment</v>
      </c>
      <c r="D32" s="183" t="str">
        <f t="shared" si="8"/>
        <v>Low Carbon District Energy SystemLow Rise Rental Apartment</v>
      </c>
      <c r="E32" s="85" t="s">
        <v>178</v>
      </c>
      <c r="F32" s="85" t="s">
        <v>89</v>
      </c>
      <c r="G32" s="199" t="s">
        <v>300</v>
      </c>
      <c r="H32" s="86" t="s">
        <v>57</v>
      </c>
      <c r="I32" s="87">
        <v>0.21</v>
      </c>
      <c r="J32" s="87">
        <v>0.3</v>
      </c>
      <c r="K32" s="87">
        <v>0.31</v>
      </c>
      <c r="L32" s="87">
        <v>0.4</v>
      </c>
      <c r="M32" s="87">
        <f t="shared" si="36"/>
        <v>0.35499999999999998</v>
      </c>
      <c r="N32" s="184">
        <f>VLOOKUP(H32,'Existing Building EUI'!$B$7:$E$16,3,FALSE)</f>
        <v>234</v>
      </c>
      <c r="O32" s="184">
        <f>VLOOKUP(H32,'Existing Building EUI'!$B$7:$E$16,4,FALSE)</f>
        <v>107</v>
      </c>
      <c r="P32" s="185">
        <v>0.7</v>
      </c>
      <c r="Q32" s="87">
        <v>0.8</v>
      </c>
      <c r="R32" s="152">
        <v>0.08</v>
      </c>
      <c r="S32" s="88">
        <v>0.1</v>
      </c>
      <c r="T32" s="87">
        <f>P32*-0.7</f>
        <v>-0.48999999999999994</v>
      </c>
      <c r="U32" s="87">
        <f>Q32*-0.7</f>
        <v>-0.55999999999999994</v>
      </c>
      <c r="V32" s="87">
        <v>0</v>
      </c>
      <c r="W32" s="87">
        <v>0</v>
      </c>
      <c r="X32" s="89">
        <f t="shared" si="24"/>
        <v>70.200000000000017</v>
      </c>
      <c r="Y32" s="89">
        <f t="shared" si="25"/>
        <v>46.799999999999983</v>
      </c>
      <c r="Z32" s="89">
        <f t="shared" si="26"/>
        <v>98.44</v>
      </c>
      <c r="AA32" s="89">
        <f t="shared" si="27"/>
        <v>96.3</v>
      </c>
      <c r="AB32" s="89">
        <f t="shared" si="28"/>
        <v>114.65999999999998</v>
      </c>
      <c r="AC32" s="89">
        <f>(U32*N32)*-1</f>
        <v>131.04</v>
      </c>
      <c r="AD32" s="152">
        <f t="shared" si="30"/>
        <v>0.16920821114369497</v>
      </c>
      <c r="AE32" s="88">
        <f t="shared" si="31"/>
        <v>0.19607038123167159</v>
      </c>
    </row>
    <row r="33" spans="2:31" s="180" customFormat="1" ht="57" x14ac:dyDescent="0.25">
      <c r="B33" s="181" t="str">
        <f>C33&amp;"-"&amp;COUNTIF($C$6:C33,C33)</f>
        <v>Heating SystemLow Rise Rental Apartment-2</v>
      </c>
      <c r="C33" s="182" t="str">
        <f t="shared" si="7"/>
        <v>Heating SystemLow Rise Rental Apartment</v>
      </c>
      <c r="D33" s="183" t="str">
        <f t="shared" si="8"/>
        <v>Air Source Heat PumpsLow Rise Rental Apartment</v>
      </c>
      <c r="E33" s="85" t="s">
        <v>179</v>
      </c>
      <c r="F33" s="85" t="s">
        <v>89</v>
      </c>
      <c r="G33" s="85" t="s">
        <v>192</v>
      </c>
      <c r="H33" s="86" t="s">
        <v>57</v>
      </c>
      <c r="I33" s="87">
        <v>0.21</v>
      </c>
      <c r="J33" s="87">
        <v>0.3</v>
      </c>
      <c r="K33" s="87">
        <v>0.31</v>
      </c>
      <c r="L33" s="87">
        <v>0.4</v>
      </c>
      <c r="M33" s="87">
        <f t="shared" si="36"/>
        <v>0.35499999999999998</v>
      </c>
      <c r="N33" s="184">
        <f>VLOOKUP(H33,'Existing Building EUI'!$B$7:$E$16,3,FALSE)</f>
        <v>234</v>
      </c>
      <c r="O33" s="184">
        <f>VLOOKUP(H33,'Existing Building EUI'!$B$7:$E$16,4,FALSE)</f>
        <v>107</v>
      </c>
      <c r="P33" s="185">
        <v>0.7</v>
      </c>
      <c r="Q33" s="87">
        <v>0.8</v>
      </c>
      <c r="R33" s="152">
        <v>0.08</v>
      </c>
      <c r="S33" s="88">
        <v>0.1</v>
      </c>
      <c r="T33" s="87">
        <v>0</v>
      </c>
      <c r="U33" s="87">
        <v>0</v>
      </c>
      <c r="V33" s="87">
        <f t="shared" ref="V33:W35" si="37">P33/-2</f>
        <v>-0.35</v>
      </c>
      <c r="W33" s="87">
        <f t="shared" si="37"/>
        <v>-0.4</v>
      </c>
      <c r="X33" s="89">
        <f t="shared" si="24"/>
        <v>70.200000000000017</v>
      </c>
      <c r="Y33" s="89">
        <f t="shared" si="25"/>
        <v>46.799999999999983</v>
      </c>
      <c r="Z33" s="89">
        <f t="shared" si="26"/>
        <v>180.33999999999997</v>
      </c>
      <c r="AA33" s="89">
        <f t="shared" si="27"/>
        <v>189.9</v>
      </c>
      <c r="AB33" s="89">
        <f t="shared" si="28"/>
        <v>0</v>
      </c>
      <c r="AC33" s="89">
        <f t="shared" ref="AC33:AC43" si="38">U33*N33</f>
        <v>0</v>
      </c>
      <c r="AD33" s="152">
        <f t="shared" si="30"/>
        <v>0.26527859237536661</v>
      </c>
      <c r="AE33" s="88">
        <f t="shared" si="31"/>
        <v>0.30586510263929623</v>
      </c>
    </row>
    <row r="34" spans="2:31" s="180" customFormat="1" ht="57" x14ac:dyDescent="0.25">
      <c r="B34" s="181" t="str">
        <f>C34&amp;"-"&amp;COUNTIF($C$6:C34,C34)</f>
        <v>Heating SystemLow Rise Rental Apartment-3</v>
      </c>
      <c r="C34" s="182" t="str">
        <f t="shared" si="7"/>
        <v>Heating SystemLow Rise Rental Apartment</v>
      </c>
      <c r="D34" s="183" t="str">
        <f t="shared" si="8"/>
        <v>Ground Source Heat PumpsLow Rise Rental Apartment</v>
      </c>
      <c r="E34" s="85" t="s">
        <v>180</v>
      </c>
      <c r="F34" s="85" t="s">
        <v>89</v>
      </c>
      <c r="G34" s="85" t="s">
        <v>130</v>
      </c>
      <c r="H34" s="86" t="s">
        <v>57</v>
      </c>
      <c r="I34" s="87">
        <v>0.21</v>
      </c>
      <c r="J34" s="87">
        <v>0.3</v>
      </c>
      <c r="K34" s="87">
        <v>0.31</v>
      </c>
      <c r="L34" s="87">
        <v>0.4</v>
      </c>
      <c r="M34" s="87">
        <f t="shared" si="36"/>
        <v>0.35499999999999998</v>
      </c>
      <c r="N34" s="184">
        <f>VLOOKUP(H34,'Existing Building EUI'!$B$7:$E$16,3,FALSE)</f>
        <v>234</v>
      </c>
      <c r="O34" s="184">
        <f>VLOOKUP(H34,'Existing Building EUI'!$B$7:$E$16,4,FALSE)</f>
        <v>107</v>
      </c>
      <c r="P34" s="185">
        <v>0.7</v>
      </c>
      <c r="Q34" s="87">
        <v>0.8</v>
      </c>
      <c r="R34" s="152">
        <v>0.08</v>
      </c>
      <c r="S34" s="88">
        <v>0.1</v>
      </c>
      <c r="T34" s="87">
        <v>0</v>
      </c>
      <c r="U34" s="87">
        <v>0</v>
      </c>
      <c r="V34" s="87">
        <f>P34/-3</f>
        <v>-0.23333333333333331</v>
      </c>
      <c r="W34" s="87">
        <f>Q34/-3</f>
        <v>-0.26666666666666666</v>
      </c>
      <c r="X34" s="89">
        <f t="shared" si="24"/>
        <v>70.200000000000017</v>
      </c>
      <c r="Y34" s="89">
        <f t="shared" si="25"/>
        <v>46.799999999999983</v>
      </c>
      <c r="Z34" s="89">
        <f t="shared" si="26"/>
        <v>153.04</v>
      </c>
      <c r="AA34" s="89">
        <f t="shared" si="27"/>
        <v>158.69999999999999</v>
      </c>
      <c r="AB34" s="89">
        <f t="shared" si="28"/>
        <v>0</v>
      </c>
      <c r="AC34" s="89">
        <f t="shared" si="38"/>
        <v>0</v>
      </c>
      <c r="AD34" s="152">
        <f t="shared" si="30"/>
        <v>0.34533724340175953</v>
      </c>
      <c r="AE34" s="88">
        <f t="shared" si="31"/>
        <v>0.39736070381231681</v>
      </c>
    </row>
    <row r="35" spans="2:31" s="180" customFormat="1" ht="42.75" x14ac:dyDescent="0.25">
      <c r="B35" s="181" t="str">
        <f>C35&amp;"-"&amp;COUNTIF($C$6:C35,C35)</f>
        <v>Gas AppliancesLow Rise Rental Apartment-1</v>
      </c>
      <c r="C35" s="182" t="str">
        <f t="shared" si="7"/>
        <v>Gas AppliancesLow Rise Rental Apartment</v>
      </c>
      <c r="D35" s="183" t="str">
        <f t="shared" si="8"/>
        <v>Electric and Induction Ranges &amp; Heat Pump Electric DryersLow Rise Rental Apartment</v>
      </c>
      <c r="E35" s="85" t="s">
        <v>181</v>
      </c>
      <c r="F35" s="85" t="s">
        <v>100</v>
      </c>
      <c r="G35" s="85" t="s">
        <v>195</v>
      </c>
      <c r="H35" s="86" t="s">
        <v>57</v>
      </c>
      <c r="I35" s="87">
        <v>0.01</v>
      </c>
      <c r="J35" s="87">
        <v>0.1</v>
      </c>
      <c r="K35" s="87">
        <v>0.05</v>
      </c>
      <c r="L35" s="87">
        <v>0.2</v>
      </c>
      <c r="M35" s="87">
        <f t="shared" si="36"/>
        <v>0.125</v>
      </c>
      <c r="N35" s="184">
        <f>VLOOKUP(H35,'Existing Building EUI'!$B$7:$E$16,3,FALSE)</f>
        <v>234</v>
      </c>
      <c r="O35" s="184">
        <f>VLOOKUP(H35,'Existing Building EUI'!$B$7:$E$16,4,FALSE)</f>
        <v>107</v>
      </c>
      <c r="P35" s="185">
        <v>0.02</v>
      </c>
      <c r="Q35" s="87">
        <v>0.15</v>
      </c>
      <c r="R35" s="152">
        <v>0</v>
      </c>
      <c r="S35" s="88">
        <v>0</v>
      </c>
      <c r="T35" s="87">
        <v>0</v>
      </c>
      <c r="U35" s="87">
        <v>0</v>
      </c>
      <c r="V35" s="87">
        <f t="shared" si="37"/>
        <v>-0.01</v>
      </c>
      <c r="W35" s="87">
        <f t="shared" si="37"/>
        <v>-7.4999999999999997E-2</v>
      </c>
      <c r="X35" s="89">
        <f t="shared" si="24"/>
        <v>229.32</v>
      </c>
      <c r="Y35" s="89">
        <f t="shared" si="25"/>
        <v>198.9</v>
      </c>
      <c r="Z35" s="89">
        <f t="shared" si="26"/>
        <v>109.34</v>
      </c>
      <c r="AA35" s="89">
        <f t="shared" si="27"/>
        <v>124.55</v>
      </c>
      <c r="AB35" s="89">
        <f t="shared" si="28"/>
        <v>0</v>
      </c>
      <c r="AC35" s="89">
        <f t="shared" si="38"/>
        <v>0</v>
      </c>
      <c r="AD35" s="152">
        <f t="shared" si="30"/>
        <v>6.8621700879766328E-3</v>
      </c>
      <c r="AE35" s="88">
        <f t="shared" si="31"/>
        <v>5.1466275659824083E-2</v>
      </c>
    </row>
    <row r="36" spans="2:31" s="180" customFormat="1" ht="28.5" x14ac:dyDescent="0.25">
      <c r="B36" s="181" t="str">
        <f>C36&amp;"-"&amp;COUNTIF($C$6:C36,C36)</f>
        <v>Domestic Hot WaterSingle Family Home Attached-1</v>
      </c>
      <c r="C36" s="182" t="str">
        <f t="shared" si="7"/>
        <v>Domestic Hot WaterSingle Family Home Attached</v>
      </c>
      <c r="D36" s="183" t="str">
        <f t="shared" si="8"/>
        <v>Electric Water HeatersSingle Family Home Attached</v>
      </c>
      <c r="E36" s="85" t="s">
        <v>176</v>
      </c>
      <c r="F36" s="85" t="s">
        <v>85</v>
      </c>
      <c r="G36" s="85" t="s">
        <v>196</v>
      </c>
      <c r="H36" s="86" t="s">
        <v>58</v>
      </c>
      <c r="I36" s="87">
        <v>0.11</v>
      </c>
      <c r="J36" s="87">
        <v>0.2</v>
      </c>
      <c r="K36" s="87">
        <v>0.11</v>
      </c>
      <c r="L36" s="87">
        <v>0.2</v>
      </c>
      <c r="M36" s="87">
        <f t="shared" si="36"/>
        <v>0.155</v>
      </c>
      <c r="N36" s="184">
        <f>VLOOKUP(H36,'Existing Building EUI'!$B$7:$E$16,3,FALSE)</f>
        <v>147</v>
      </c>
      <c r="O36" s="184">
        <f>VLOOKUP(H36,'Existing Building EUI'!$B$7:$E$16,4,FALSE)</f>
        <v>43</v>
      </c>
      <c r="P36" s="185">
        <v>0.2</v>
      </c>
      <c r="Q36" s="87">
        <v>0.3</v>
      </c>
      <c r="R36" s="152">
        <v>0</v>
      </c>
      <c r="S36" s="88">
        <v>0</v>
      </c>
      <c r="T36" s="87">
        <v>0</v>
      </c>
      <c r="U36" s="87">
        <v>0</v>
      </c>
      <c r="V36" s="87">
        <f>P36/-4</f>
        <v>-0.05</v>
      </c>
      <c r="W36" s="87">
        <f>Q36/-4</f>
        <v>-7.4999999999999997E-2</v>
      </c>
      <c r="X36" s="89">
        <f t="shared" si="24"/>
        <v>117.6</v>
      </c>
      <c r="Y36" s="89">
        <f t="shared" si="25"/>
        <v>102.9</v>
      </c>
      <c r="Z36" s="89">
        <f t="shared" si="26"/>
        <v>50.35</v>
      </c>
      <c r="AA36" s="89">
        <f t="shared" si="27"/>
        <v>54.024999999999999</v>
      </c>
      <c r="AB36" s="89">
        <f t="shared" si="28"/>
        <v>0</v>
      </c>
      <c r="AC36" s="89">
        <f t="shared" si="38"/>
        <v>0</v>
      </c>
      <c r="AD36" s="152">
        <f t="shared" si="30"/>
        <v>0.11605263157894743</v>
      </c>
      <c r="AE36" s="88">
        <f t="shared" si="31"/>
        <v>0.174078947368421</v>
      </c>
    </row>
    <row r="37" spans="2:31" s="180" customFormat="1" ht="28.5" x14ac:dyDescent="0.25">
      <c r="B37" s="181" t="str">
        <f>C37&amp;"-"&amp;COUNTIF($C$6:C37,C37)</f>
        <v>Heating SystemSingle Family Home Attached-1</v>
      </c>
      <c r="C37" s="182" t="str">
        <f t="shared" si="7"/>
        <v>Heating SystemSingle Family Home Attached</v>
      </c>
      <c r="D37" s="183" t="str">
        <f t="shared" si="8"/>
        <v>Air Source Heat PumpsSingle Family Home Attached</v>
      </c>
      <c r="E37" s="85" t="s">
        <v>189</v>
      </c>
      <c r="F37" s="85" t="s">
        <v>89</v>
      </c>
      <c r="G37" s="85" t="s">
        <v>192</v>
      </c>
      <c r="H37" s="86" t="s">
        <v>58</v>
      </c>
      <c r="I37" s="87">
        <v>0.01</v>
      </c>
      <c r="J37" s="87">
        <v>0.45</v>
      </c>
      <c r="K37" s="87">
        <v>0.01</v>
      </c>
      <c r="L37" s="87">
        <v>0.45</v>
      </c>
      <c r="M37" s="87">
        <f t="shared" si="36"/>
        <v>0.23</v>
      </c>
      <c r="N37" s="184">
        <f>VLOOKUP(H37,'Existing Building EUI'!$B$7:$E$16,3,FALSE)</f>
        <v>147</v>
      </c>
      <c r="O37" s="184">
        <f>VLOOKUP(H37,'Existing Building EUI'!$B$7:$E$16,4,FALSE)</f>
        <v>43</v>
      </c>
      <c r="P37" s="185">
        <v>0.6</v>
      </c>
      <c r="Q37" s="87">
        <v>0.8</v>
      </c>
      <c r="R37" s="152">
        <v>0.01</v>
      </c>
      <c r="S37" s="88">
        <v>0.05</v>
      </c>
      <c r="T37" s="87">
        <v>0</v>
      </c>
      <c r="U37" s="87">
        <v>0</v>
      </c>
      <c r="V37" s="87">
        <f t="shared" ref="V37:W39" si="39">P37/-2</f>
        <v>-0.3</v>
      </c>
      <c r="W37" s="87">
        <f t="shared" si="39"/>
        <v>-0.4</v>
      </c>
      <c r="X37" s="89">
        <f t="shared" si="24"/>
        <v>58.8</v>
      </c>
      <c r="Y37" s="89">
        <f t="shared" si="25"/>
        <v>29.399999999999991</v>
      </c>
      <c r="Z37" s="89">
        <f t="shared" si="26"/>
        <v>86.67</v>
      </c>
      <c r="AA37" s="89">
        <f t="shared" si="27"/>
        <v>99.65</v>
      </c>
      <c r="AB37" s="89">
        <f t="shared" si="28"/>
        <v>0</v>
      </c>
      <c r="AC37" s="89">
        <f t="shared" si="38"/>
        <v>0</v>
      </c>
      <c r="AD37" s="152">
        <f t="shared" si="30"/>
        <v>0.23436842105263159</v>
      </c>
      <c r="AE37" s="88">
        <f t="shared" si="31"/>
        <v>0.32078947368421046</v>
      </c>
    </row>
    <row r="38" spans="2:31" s="180" customFormat="1" ht="28.5" x14ac:dyDescent="0.25">
      <c r="B38" s="181" t="str">
        <f>C38&amp;"-"&amp;COUNTIF($C$6:C38,C38)</f>
        <v>Heating SystemSingle Family Home Attached-2</v>
      </c>
      <c r="C38" s="182" t="str">
        <f t="shared" si="7"/>
        <v>Heating SystemSingle Family Home Attached</v>
      </c>
      <c r="D38" s="183" t="str">
        <f t="shared" si="8"/>
        <v>Ground Source Heat PumpsSingle Family Home Attached</v>
      </c>
      <c r="E38" s="85" t="s">
        <v>190</v>
      </c>
      <c r="F38" s="85" t="s">
        <v>89</v>
      </c>
      <c r="G38" s="85" t="s">
        <v>130</v>
      </c>
      <c r="H38" s="86" t="s">
        <v>58</v>
      </c>
      <c r="I38" s="87">
        <v>0.01</v>
      </c>
      <c r="J38" s="87">
        <v>0.45</v>
      </c>
      <c r="K38" s="87">
        <v>0.01</v>
      </c>
      <c r="L38" s="87">
        <v>0.45</v>
      </c>
      <c r="M38" s="87">
        <f t="shared" si="36"/>
        <v>0.23</v>
      </c>
      <c r="N38" s="184">
        <f>VLOOKUP(H38,'Existing Building EUI'!$B$7:$E$16,3,FALSE)</f>
        <v>147</v>
      </c>
      <c r="O38" s="184">
        <f>VLOOKUP(H38,'Existing Building EUI'!$B$7:$E$16,4,FALSE)</f>
        <v>43</v>
      </c>
      <c r="P38" s="185">
        <v>0.6</v>
      </c>
      <c r="Q38" s="87">
        <v>0.8</v>
      </c>
      <c r="R38" s="152">
        <v>0.01</v>
      </c>
      <c r="S38" s="88">
        <v>0.05</v>
      </c>
      <c r="T38" s="87">
        <v>0</v>
      </c>
      <c r="U38" s="87">
        <v>0</v>
      </c>
      <c r="V38" s="87">
        <f>P38/-3</f>
        <v>-0.19999999999999998</v>
      </c>
      <c r="W38" s="87">
        <f>Q38/-3</f>
        <v>-0.26666666666666666</v>
      </c>
      <c r="X38" s="89">
        <f t="shared" si="24"/>
        <v>58.8</v>
      </c>
      <c r="Y38" s="89">
        <f t="shared" si="25"/>
        <v>29.399999999999991</v>
      </c>
      <c r="Z38" s="89">
        <f t="shared" si="26"/>
        <v>71.97</v>
      </c>
      <c r="AA38" s="89">
        <f t="shared" si="27"/>
        <v>80.050000000000011</v>
      </c>
      <c r="AB38" s="89">
        <f t="shared" si="28"/>
        <v>0</v>
      </c>
      <c r="AC38" s="89">
        <f t="shared" si="38"/>
        <v>0</v>
      </c>
      <c r="AD38" s="152">
        <f t="shared" si="30"/>
        <v>0.31173684210526326</v>
      </c>
      <c r="AE38" s="88">
        <f t="shared" si="31"/>
        <v>0.42394736842105263</v>
      </c>
    </row>
    <row r="39" spans="2:31" s="180" customFormat="1" ht="42.75" x14ac:dyDescent="0.25">
      <c r="B39" s="181" t="str">
        <f>C39&amp;"-"&amp;COUNTIF($C$6:C39,C39)</f>
        <v>Gas AppliancesSingle Family Home Attached-1</v>
      </c>
      <c r="C39" s="182" t="str">
        <f t="shared" si="7"/>
        <v>Gas AppliancesSingle Family Home Attached</v>
      </c>
      <c r="D39" s="183" t="str">
        <f t="shared" si="8"/>
        <v>Electric and Induction Ranges &amp; Heat Pump Electric DryersSingle Family Home Attached</v>
      </c>
      <c r="E39" s="85" t="s">
        <v>181</v>
      </c>
      <c r="F39" s="85" t="s">
        <v>100</v>
      </c>
      <c r="G39" s="85" t="s">
        <v>195</v>
      </c>
      <c r="H39" s="86" t="s">
        <v>58</v>
      </c>
      <c r="I39" s="87">
        <v>0.01</v>
      </c>
      <c r="J39" s="87">
        <v>0.1</v>
      </c>
      <c r="K39" s="87">
        <v>0.05</v>
      </c>
      <c r="L39" s="87">
        <v>0.2</v>
      </c>
      <c r="M39" s="87">
        <f t="shared" si="36"/>
        <v>0.125</v>
      </c>
      <c r="N39" s="184">
        <f>VLOOKUP(H39,'Existing Building EUI'!$B$7:$E$16,3,FALSE)</f>
        <v>147</v>
      </c>
      <c r="O39" s="184">
        <f>VLOOKUP(H39,'Existing Building EUI'!$B$7:$E$16,4,FALSE)</f>
        <v>43</v>
      </c>
      <c r="P39" s="185">
        <v>0.02</v>
      </c>
      <c r="Q39" s="87">
        <v>0.15</v>
      </c>
      <c r="R39" s="152">
        <v>0</v>
      </c>
      <c r="S39" s="88">
        <v>0</v>
      </c>
      <c r="T39" s="87">
        <v>0</v>
      </c>
      <c r="U39" s="87">
        <v>0</v>
      </c>
      <c r="V39" s="87">
        <f t="shared" si="39"/>
        <v>-0.01</v>
      </c>
      <c r="W39" s="87">
        <f t="shared" si="39"/>
        <v>-7.4999999999999997E-2</v>
      </c>
      <c r="X39" s="89">
        <f t="shared" si="24"/>
        <v>144.06</v>
      </c>
      <c r="Y39" s="89">
        <f t="shared" si="25"/>
        <v>124.95</v>
      </c>
      <c r="Z39" s="89">
        <f t="shared" si="26"/>
        <v>44.47</v>
      </c>
      <c r="AA39" s="89">
        <f t="shared" si="27"/>
        <v>54.024999999999999</v>
      </c>
      <c r="AB39" s="89">
        <f t="shared" si="28"/>
        <v>0</v>
      </c>
      <c r="AC39" s="89">
        <f t="shared" si="38"/>
        <v>0</v>
      </c>
      <c r="AD39" s="152">
        <f t="shared" si="30"/>
        <v>7.7368421052631522E-3</v>
      </c>
      <c r="AE39" s="88">
        <f t="shared" si="31"/>
        <v>5.8026315789473717E-2</v>
      </c>
    </row>
    <row r="40" spans="2:31" s="180" customFormat="1" ht="28.5" x14ac:dyDescent="0.25">
      <c r="B40" s="181" t="str">
        <f>C40&amp;"-"&amp;COUNTIF($C$6:C40,C40)</f>
        <v>Domestic Hot WaterSingle Family Home Detached-1</v>
      </c>
      <c r="C40" s="182" t="str">
        <f t="shared" si="7"/>
        <v>Domestic Hot WaterSingle Family Home Detached</v>
      </c>
      <c r="D40" s="183" t="str">
        <f t="shared" si="8"/>
        <v>Electric Water HeatersSingle Family Home Detached</v>
      </c>
      <c r="E40" s="85" t="s">
        <v>176</v>
      </c>
      <c r="F40" s="85" t="s">
        <v>85</v>
      </c>
      <c r="G40" s="85" t="s">
        <v>196</v>
      </c>
      <c r="H40" s="86" t="s">
        <v>60</v>
      </c>
      <c r="I40" s="87">
        <v>0.21</v>
      </c>
      <c r="J40" s="87">
        <v>0.3</v>
      </c>
      <c r="K40" s="87">
        <v>0.21</v>
      </c>
      <c r="L40" s="87">
        <v>0.3</v>
      </c>
      <c r="M40" s="87">
        <f t="shared" si="36"/>
        <v>0.255</v>
      </c>
      <c r="N40" s="184">
        <f>VLOOKUP(H40,'Existing Building EUI'!$B$7:$E$16,3,FALSE)</f>
        <v>203</v>
      </c>
      <c r="O40" s="184">
        <f>VLOOKUP(H40,'Existing Building EUI'!$B$7:$E$16,4,FALSE)</f>
        <v>38</v>
      </c>
      <c r="P40" s="185">
        <v>0.2</v>
      </c>
      <c r="Q40" s="87">
        <v>0.3</v>
      </c>
      <c r="R40" s="152">
        <v>0</v>
      </c>
      <c r="S40" s="88">
        <v>0</v>
      </c>
      <c r="T40" s="87">
        <v>0</v>
      </c>
      <c r="U40" s="87">
        <v>0</v>
      </c>
      <c r="V40" s="87">
        <f>P40/-4</f>
        <v>-0.05</v>
      </c>
      <c r="W40" s="87">
        <f>Q40/-4</f>
        <v>-7.4999999999999997E-2</v>
      </c>
      <c r="X40" s="89">
        <f>N40-(N40*P40)</f>
        <v>162.4</v>
      </c>
      <c r="Y40" s="89">
        <f t="shared" si="25"/>
        <v>142.1</v>
      </c>
      <c r="Z40" s="89">
        <f t="shared" si="26"/>
        <v>48.15</v>
      </c>
      <c r="AA40" s="89">
        <f t="shared" si="27"/>
        <v>53.225000000000001</v>
      </c>
      <c r="AB40" s="89">
        <f t="shared" si="28"/>
        <v>0</v>
      </c>
      <c r="AC40" s="89">
        <f t="shared" si="38"/>
        <v>0</v>
      </c>
      <c r="AD40" s="152">
        <f t="shared" si="30"/>
        <v>0.12634854771784226</v>
      </c>
      <c r="AE40" s="88">
        <f t="shared" si="31"/>
        <v>0.18952282157676353</v>
      </c>
    </row>
    <row r="41" spans="2:31" s="180" customFormat="1" ht="28.5" x14ac:dyDescent="0.25">
      <c r="B41" s="181" t="str">
        <f>C41&amp;"-"&amp;COUNTIF($C$6:C41,C41)</f>
        <v>Heating SystemSingle Family Home Detached-1</v>
      </c>
      <c r="C41" s="182" t="str">
        <f t="shared" si="7"/>
        <v>Heating SystemSingle Family Home Detached</v>
      </c>
      <c r="D41" s="183" t="str">
        <f t="shared" si="8"/>
        <v>Air Source Heat PumpsSingle Family Home Detached</v>
      </c>
      <c r="E41" s="85" t="s">
        <v>189</v>
      </c>
      <c r="F41" s="85" t="s">
        <v>89</v>
      </c>
      <c r="G41" s="85" t="s">
        <v>192</v>
      </c>
      <c r="H41" s="86" t="s">
        <v>60</v>
      </c>
      <c r="I41" s="87">
        <v>0.01</v>
      </c>
      <c r="J41" s="87">
        <v>0.55000000000000004</v>
      </c>
      <c r="K41" s="87">
        <v>0.01</v>
      </c>
      <c r="L41" s="87">
        <v>0.55000000000000004</v>
      </c>
      <c r="M41" s="87">
        <f t="shared" si="36"/>
        <v>0.28000000000000003</v>
      </c>
      <c r="N41" s="184">
        <f>VLOOKUP(H41,'Existing Building EUI'!$B$7:$E$16,3,FALSE)</f>
        <v>203</v>
      </c>
      <c r="O41" s="184">
        <f>VLOOKUP(H41,'Existing Building EUI'!$B$7:$E$16,4,FALSE)</f>
        <v>38</v>
      </c>
      <c r="P41" s="185">
        <v>0.6</v>
      </c>
      <c r="Q41" s="87">
        <v>0.8</v>
      </c>
      <c r="R41" s="152">
        <v>0.01</v>
      </c>
      <c r="S41" s="88">
        <v>0.05</v>
      </c>
      <c r="T41" s="87">
        <v>0</v>
      </c>
      <c r="U41" s="87">
        <v>0</v>
      </c>
      <c r="V41" s="87">
        <f t="shared" ref="V41:W43" si="40">P41/-2</f>
        <v>-0.3</v>
      </c>
      <c r="W41" s="87">
        <f t="shared" si="40"/>
        <v>-0.4</v>
      </c>
      <c r="X41" s="89">
        <f t="shared" si="24"/>
        <v>81.2</v>
      </c>
      <c r="Y41" s="89">
        <f t="shared" si="25"/>
        <v>40.599999999999994</v>
      </c>
      <c r="Z41" s="89">
        <f t="shared" si="26"/>
        <v>98.52</v>
      </c>
      <c r="AA41" s="89">
        <f t="shared" si="27"/>
        <v>117.3</v>
      </c>
      <c r="AB41" s="89">
        <f t="shared" si="28"/>
        <v>0</v>
      </c>
      <c r="AC41" s="89">
        <f t="shared" si="38"/>
        <v>0</v>
      </c>
      <c r="AD41" s="152">
        <f t="shared" si="30"/>
        <v>0.25427385892116183</v>
      </c>
      <c r="AE41" s="88">
        <f t="shared" si="31"/>
        <v>0.34481327800829886</v>
      </c>
    </row>
    <row r="42" spans="2:31" s="180" customFormat="1" ht="28.5" x14ac:dyDescent="0.25">
      <c r="B42" s="181" t="str">
        <f>C42&amp;"-"&amp;COUNTIF($C$6:C42,C42)</f>
        <v>Heating SystemSingle Family Home Detached-2</v>
      </c>
      <c r="C42" s="182" t="str">
        <f t="shared" si="7"/>
        <v>Heating SystemSingle Family Home Detached</v>
      </c>
      <c r="D42" s="183" t="str">
        <f t="shared" si="8"/>
        <v>Ground Source Heat PumpsSingle Family Home Detached</v>
      </c>
      <c r="E42" s="85" t="s">
        <v>190</v>
      </c>
      <c r="F42" s="85" t="s">
        <v>89</v>
      </c>
      <c r="G42" s="85" t="s">
        <v>130</v>
      </c>
      <c r="H42" s="86" t="s">
        <v>60</v>
      </c>
      <c r="I42" s="87">
        <v>0.01</v>
      </c>
      <c r="J42" s="87">
        <v>0.55000000000000004</v>
      </c>
      <c r="K42" s="87">
        <v>0.01</v>
      </c>
      <c r="L42" s="87">
        <v>0.55000000000000004</v>
      </c>
      <c r="M42" s="87">
        <f t="shared" si="36"/>
        <v>0.28000000000000003</v>
      </c>
      <c r="N42" s="184">
        <f>VLOOKUP(H42,'Existing Building EUI'!$B$7:$E$16,3,FALSE)</f>
        <v>203</v>
      </c>
      <c r="O42" s="184">
        <f>VLOOKUP(H42,'Existing Building EUI'!$B$7:$E$16,4,FALSE)</f>
        <v>38</v>
      </c>
      <c r="P42" s="185">
        <v>0.6</v>
      </c>
      <c r="Q42" s="87">
        <v>0.8</v>
      </c>
      <c r="R42" s="152">
        <v>0.01</v>
      </c>
      <c r="S42" s="88">
        <v>0.05</v>
      </c>
      <c r="T42" s="87">
        <v>0</v>
      </c>
      <c r="U42" s="87">
        <v>0</v>
      </c>
      <c r="V42" s="87">
        <f>P42/-3</f>
        <v>-0.19999999999999998</v>
      </c>
      <c r="W42" s="87">
        <f>Q42/-3</f>
        <v>-0.26666666666666666</v>
      </c>
      <c r="X42" s="89">
        <f t="shared" si="24"/>
        <v>81.2</v>
      </c>
      <c r="Y42" s="89">
        <f t="shared" si="25"/>
        <v>40.599999999999994</v>
      </c>
      <c r="Z42" s="89">
        <f t="shared" si="26"/>
        <v>78.22</v>
      </c>
      <c r="AA42" s="89">
        <f t="shared" si="27"/>
        <v>90.233333333333334</v>
      </c>
      <c r="AB42" s="89">
        <f t="shared" si="28"/>
        <v>0</v>
      </c>
      <c r="AC42" s="89">
        <f t="shared" si="38"/>
        <v>0</v>
      </c>
      <c r="AD42" s="152">
        <f t="shared" si="30"/>
        <v>0.33850622406638997</v>
      </c>
      <c r="AE42" s="88">
        <f t="shared" si="31"/>
        <v>0.45712309820193647</v>
      </c>
    </row>
    <row r="43" spans="2:31" s="180" customFormat="1" ht="42.75" x14ac:dyDescent="0.25">
      <c r="B43" s="181" t="str">
        <f>C43&amp;"-"&amp;COUNTIF($C$6:C43,C43)</f>
        <v>Gas AppliancesSingle Family Home Detached-1</v>
      </c>
      <c r="C43" s="182" t="str">
        <f t="shared" si="7"/>
        <v>Gas AppliancesSingle Family Home Detached</v>
      </c>
      <c r="D43" s="183" t="str">
        <f t="shared" si="8"/>
        <v>Electric and Induction Ranges &amp; Heat Pump Electric DryersSingle Family Home Detached</v>
      </c>
      <c r="E43" s="85" t="s">
        <v>181</v>
      </c>
      <c r="F43" s="85" t="s">
        <v>100</v>
      </c>
      <c r="G43" s="85" t="s">
        <v>195</v>
      </c>
      <c r="H43" s="86" t="s">
        <v>60</v>
      </c>
      <c r="I43" s="87">
        <v>0.01</v>
      </c>
      <c r="J43" s="87">
        <v>0.1</v>
      </c>
      <c r="K43" s="87">
        <v>0.05</v>
      </c>
      <c r="L43" s="87">
        <v>0.2</v>
      </c>
      <c r="M43" s="87">
        <f t="shared" si="36"/>
        <v>0.125</v>
      </c>
      <c r="N43" s="184">
        <f>VLOOKUP(H43,'Existing Building EUI'!$B$7:$E$16,3,FALSE)</f>
        <v>203</v>
      </c>
      <c r="O43" s="184">
        <f>VLOOKUP(H43,'Existing Building EUI'!$B$7:$E$16,4,FALSE)</f>
        <v>38</v>
      </c>
      <c r="P43" s="185">
        <v>0.02</v>
      </c>
      <c r="Q43" s="87">
        <v>0.15</v>
      </c>
      <c r="R43" s="152">
        <v>0</v>
      </c>
      <c r="S43" s="88">
        <v>0</v>
      </c>
      <c r="T43" s="87">
        <v>0</v>
      </c>
      <c r="U43" s="87">
        <v>0</v>
      </c>
      <c r="V43" s="87">
        <f t="shared" si="40"/>
        <v>-0.01</v>
      </c>
      <c r="W43" s="87">
        <f t="shared" si="40"/>
        <v>-7.4999999999999997E-2</v>
      </c>
      <c r="X43" s="89">
        <f t="shared" si="24"/>
        <v>198.94</v>
      </c>
      <c r="Y43" s="89">
        <f t="shared" si="25"/>
        <v>172.55</v>
      </c>
      <c r="Z43" s="89">
        <f t="shared" si="26"/>
        <v>40.03</v>
      </c>
      <c r="AA43" s="89">
        <f t="shared" si="27"/>
        <v>53.225000000000001</v>
      </c>
      <c r="AB43" s="89">
        <f t="shared" si="28"/>
        <v>0</v>
      </c>
      <c r="AC43" s="89">
        <f t="shared" si="38"/>
        <v>0</v>
      </c>
      <c r="AD43" s="152">
        <f t="shared" si="30"/>
        <v>8.423236514522826E-3</v>
      </c>
      <c r="AE43" s="88">
        <f t="shared" si="31"/>
        <v>6.3174273858921132E-2</v>
      </c>
    </row>
    <row r="44" spans="2:31" s="180" customFormat="1" x14ac:dyDescent="0.25">
      <c r="K44" s="186"/>
      <c r="L44" s="186"/>
      <c r="M44" s="186"/>
      <c r="N44" s="186"/>
      <c r="O44" s="186"/>
      <c r="P44" s="186"/>
      <c r="Q44" s="186"/>
      <c r="R44" s="186"/>
      <c r="S44" s="186"/>
      <c r="T44" s="187"/>
      <c r="U44" s="187"/>
    </row>
    <row r="45" spans="2:31" s="180" customFormat="1" x14ac:dyDescent="0.25">
      <c r="K45" s="186"/>
      <c r="L45" s="186"/>
      <c r="M45" s="186"/>
      <c r="N45" s="186"/>
      <c r="O45" s="186"/>
      <c r="P45" s="186"/>
      <c r="Q45" s="186"/>
      <c r="R45" s="186"/>
      <c r="S45" s="186"/>
      <c r="T45" s="187"/>
      <c r="U45" s="187"/>
    </row>
    <row r="46" spans="2:31" s="180" customFormat="1" x14ac:dyDescent="0.25">
      <c r="K46" s="186"/>
      <c r="L46" s="186"/>
      <c r="M46" s="186"/>
      <c r="N46" s="186"/>
      <c r="O46" s="186"/>
      <c r="P46" s="186"/>
      <c r="Q46" s="186"/>
      <c r="R46" s="186"/>
      <c r="S46" s="186"/>
      <c r="T46" s="187"/>
      <c r="U46" s="187"/>
    </row>
    <row r="47" spans="2:31" s="180" customFormat="1" x14ac:dyDescent="0.25">
      <c r="K47" s="186"/>
      <c r="L47" s="186"/>
      <c r="M47" s="186"/>
      <c r="N47" s="186"/>
      <c r="O47" s="186"/>
      <c r="P47" s="186"/>
      <c r="Q47" s="186"/>
      <c r="R47" s="186"/>
      <c r="S47" s="186"/>
      <c r="T47" s="187"/>
      <c r="U47" s="187"/>
    </row>
    <row r="48" spans="2:31" s="180" customFormat="1" x14ac:dyDescent="0.25">
      <c r="K48" s="186"/>
      <c r="L48" s="186"/>
      <c r="M48" s="186"/>
      <c r="N48" s="186"/>
      <c r="O48" s="186"/>
      <c r="P48" s="186"/>
      <c r="Q48" s="186"/>
      <c r="R48" s="186"/>
      <c r="S48" s="186"/>
      <c r="T48" s="187"/>
      <c r="U48" s="187"/>
    </row>
    <row r="49" spans="11:21" s="180" customFormat="1" x14ac:dyDescent="0.25">
      <c r="K49" s="186"/>
      <c r="L49" s="186"/>
      <c r="M49" s="186"/>
      <c r="N49" s="186"/>
      <c r="O49" s="186"/>
      <c r="P49" s="186"/>
      <c r="Q49" s="186"/>
      <c r="R49" s="186"/>
      <c r="S49" s="186"/>
      <c r="T49" s="187"/>
      <c r="U49" s="187"/>
    </row>
    <row r="50" spans="11:21" s="180" customFormat="1" x14ac:dyDescent="0.25">
      <c r="K50" s="186"/>
      <c r="L50" s="186"/>
      <c r="M50" s="186"/>
      <c r="N50" s="186"/>
      <c r="O50" s="186"/>
      <c r="P50" s="186"/>
      <c r="Q50" s="186"/>
      <c r="R50" s="186"/>
      <c r="S50" s="186"/>
      <c r="T50" s="187"/>
      <c r="U50" s="187"/>
    </row>
    <row r="51" spans="11:21" s="180" customFormat="1" x14ac:dyDescent="0.25">
      <c r="K51" s="186"/>
      <c r="L51" s="186"/>
      <c r="M51" s="186"/>
      <c r="N51" s="186"/>
      <c r="O51" s="186"/>
      <c r="P51" s="186"/>
      <c r="Q51" s="186"/>
      <c r="R51" s="186"/>
      <c r="S51" s="186"/>
      <c r="T51" s="187"/>
      <c r="U51" s="187"/>
    </row>
    <row r="52" spans="11:21" s="180" customFormat="1" x14ac:dyDescent="0.25">
      <c r="K52" s="186"/>
      <c r="L52" s="186"/>
      <c r="M52" s="186"/>
      <c r="N52" s="186"/>
      <c r="O52" s="186"/>
      <c r="P52" s="186"/>
      <c r="Q52" s="186"/>
      <c r="R52" s="186"/>
      <c r="S52" s="186"/>
      <c r="T52" s="187"/>
      <c r="U52" s="187"/>
    </row>
    <row r="53" spans="11:21" s="180" customFormat="1" x14ac:dyDescent="0.25">
      <c r="K53" s="186"/>
      <c r="L53" s="186"/>
      <c r="M53" s="186"/>
      <c r="N53" s="186"/>
      <c r="O53" s="186"/>
      <c r="P53" s="186"/>
      <c r="Q53" s="186"/>
      <c r="R53" s="186"/>
      <c r="S53" s="186"/>
      <c r="T53" s="187"/>
      <c r="U53" s="187"/>
    </row>
    <row r="54" spans="11:21" s="180" customFormat="1" x14ac:dyDescent="0.25">
      <c r="K54" s="186"/>
      <c r="L54" s="186"/>
      <c r="M54" s="186"/>
      <c r="N54" s="186"/>
      <c r="O54" s="186"/>
      <c r="P54" s="186"/>
      <c r="Q54" s="186"/>
      <c r="R54" s="186"/>
      <c r="S54" s="186"/>
      <c r="T54" s="187"/>
      <c r="U54" s="187"/>
    </row>
    <row r="55" spans="11:21" s="180" customFormat="1" x14ac:dyDescent="0.25">
      <c r="K55" s="186"/>
      <c r="L55" s="186"/>
      <c r="M55" s="186"/>
      <c r="N55" s="186"/>
      <c r="O55" s="186"/>
      <c r="P55" s="186"/>
      <c r="Q55" s="186"/>
      <c r="R55" s="186"/>
      <c r="S55" s="186"/>
      <c r="T55" s="187"/>
      <c r="U55" s="187"/>
    </row>
    <row r="56" spans="11:21" s="180" customFormat="1" x14ac:dyDescent="0.25">
      <c r="K56" s="186"/>
      <c r="L56" s="186"/>
      <c r="M56" s="186"/>
      <c r="N56" s="186"/>
      <c r="O56" s="186"/>
      <c r="P56" s="186"/>
      <c r="Q56" s="186"/>
      <c r="R56" s="186"/>
      <c r="S56" s="186"/>
      <c r="T56" s="187"/>
      <c r="U56" s="187"/>
    </row>
    <row r="57" spans="11:21" s="180" customFormat="1" x14ac:dyDescent="0.25">
      <c r="K57" s="186"/>
      <c r="L57" s="186"/>
      <c r="M57" s="186"/>
      <c r="N57" s="186"/>
      <c r="O57" s="186"/>
      <c r="P57" s="186"/>
      <c r="Q57" s="186"/>
      <c r="R57" s="186"/>
      <c r="S57" s="186"/>
      <c r="T57" s="187"/>
      <c r="U57" s="187"/>
    </row>
    <row r="58" spans="11:21" s="180" customFormat="1" x14ac:dyDescent="0.25">
      <c r="K58" s="186"/>
      <c r="L58" s="186"/>
      <c r="M58" s="186"/>
      <c r="N58" s="186"/>
      <c r="O58" s="186"/>
      <c r="P58" s="186"/>
      <c r="Q58" s="186"/>
      <c r="R58" s="186"/>
      <c r="S58" s="186"/>
      <c r="T58" s="187"/>
      <c r="U58" s="187"/>
    </row>
    <row r="59" spans="11:21" s="180" customFormat="1" x14ac:dyDescent="0.25">
      <c r="K59" s="186"/>
      <c r="L59" s="186"/>
      <c r="M59" s="186"/>
      <c r="N59" s="186"/>
      <c r="O59" s="186"/>
      <c r="P59" s="186"/>
      <c r="Q59" s="186"/>
      <c r="R59" s="186"/>
      <c r="S59" s="186"/>
      <c r="T59" s="187"/>
      <c r="U59" s="187"/>
    </row>
    <row r="60" spans="11:21" s="180" customFormat="1" x14ac:dyDescent="0.25">
      <c r="K60" s="186"/>
      <c r="L60" s="186"/>
      <c r="M60" s="186"/>
      <c r="N60" s="186"/>
      <c r="O60" s="186"/>
      <c r="P60" s="186"/>
      <c r="Q60" s="186"/>
      <c r="R60" s="186"/>
      <c r="S60" s="186"/>
      <c r="T60" s="187"/>
      <c r="U60" s="187"/>
    </row>
  </sheetData>
  <autoFilter ref="A5:AE43" xr:uid="{5E2E2931-1ECD-4DEF-8DD1-9B30080A0F77}"/>
  <phoneticPr fontId="13" type="noConversion"/>
  <conditionalFormatting sqref="I6:AE43">
    <cfRule type="containsBlanks" dxfId="3" priority="1">
      <formula>LEN(TRIM(I6))=0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DE652-DFE8-4A47-8B14-708C98CB33E3}">
  <sheetPr filterMode="1">
    <tabColor theme="9" tint="0.39997558519241921"/>
  </sheetPr>
  <dimension ref="B1:DH43"/>
  <sheetViews>
    <sheetView topLeftCell="A4" zoomScale="115" zoomScaleNormal="115" workbookViewId="0">
      <pane xSplit="8" ySplit="2" topLeftCell="I22" activePane="bottomRight" state="frozen"/>
      <selection activeCell="G68" sqref="G68"/>
      <selection pane="topRight" activeCell="G68" sqref="G68"/>
      <selection pane="bottomLeft" activeCell="G68" sqref="G68"/>
      <selection pane="bottomRight" activeCell="G68" sqref="G68"/>
    </sheetView>
  </sheetViews>
  <sheetFormatPr defaultRowHeight="14.25" x14ac:dyDescent="0.25"/>
  <cols>
    <col min="1" max="1" width="9.140625" style="180"/>
    <col min="2" max="2" width="13.28515625" style="180" customWidth="1"/>
    <col min="3" max="3" width="9.28515625" style="180" customWidth="1"/>
    <col min="4" max="4" width="13.28515625" style="180" customWidth="1"/>
    <col min="5" max="7" width="28.7109375" style="180" customWidth="1"/>
    <col min="8" max="8" width="18.28515625" style="180" customWidth="1"/>
    <col min="9" max="10" width="9.42578125" style="180" hidden="1" customWidth="1"/>
    <col min="11" max="15" width="9.42578125" style="186" hidden="1" customWidth="1"/>
    <col min="16" max="19" width="9.42578125" style="186" customWidth="1"/>
    <col min="20" max="21" width="9.42578125" style="188" customWidth="1"/>
    <col min="22" max="23" width="9.42578125" style="180" customWidth="1"/>
    <col min="24" max="31" width="9.42578125" style="180" hidden="1" customWidth="1"/>
    <col min="32" max="16384" width="9.140625" style="180"/>
  </cols>
  <sheetData>
    <row r="1" spans="2:112" s="81" customFormat="1" x14ac:dyDescent="0.2">
      <c r="K1" s="82"/>
      <c r="L1" s="82"/>
      <c r="M1" s="82"/>
      <c r="N1" s="82"/>
      <c r="O1" s="82"/>
      <c r="P1" s="82"/>
      <c r="Q1" s="82"/>
      <c r="R1" s="82"/>
      <c r="S1" s="82"/>
      <c r="T1" s="153"/>
      <c r="U1" s="153"/>
    </row>
    <row r="2" spans="2:112" s="81" customFormat="1" x14ac:dyDescent="0.2">
      <c r="K2" s="82"/>
      <c r="L2" s="82"/>
      <c r="M2" s="82"/>
      <c r="N2" s="82"/>
      <c r="O2" s="82"/>
      <c r="P2" s="82"/>
      <c r="Q2" s="82"/>
      <c r="R2" s="82"/>
      <c r="S2" s="82"/>
      <c r="T2" s="153"/>
      <c r="U2" s="153"/>
    </row>
    <row r="3" spans="2:112" s="81" customFormat="1" x14ac:dyDescent="0.2">
      <c r="K3" s="82"/>
      <c r="L3" s="82"/>
      <c r="M3" s="82"/>
      <c r="N3" s="82"/>
      <c r="O3" s="82"/>
      <c r="P3" s="82"/>
      <c r="Q3" s="82"/>
      <c r="R3" s="82"/>
      <c r="S3" s="82"/>
      <c r="T3" s="153"/>
      <c r="U3" s="153"/>
    </row>
    <row r="4" spans="2:112" s="81" customFormat="1" x14ac:dyDescent="0.2">
      <c r="B4" s="81" cm="1">
        <f t="array" ref="B4:DH4">COLUMN(B4:DH4)-1</f>
        <v>1</v>
      </c>
      <c r="C4" s="81">
        <v>2</v>
      </c>
      <c r="D4" s="81">
        <v>3</v>
      </c>
      <c r="E4" s="81">
        <v>4</v>
      </c>
      <c r="F4" s="81">
        <v>5</v>
      </c>
      <c r="G4" s="81">
        <v>6</v>
      </c>
      <c r="H4" s="81">
        <v>7</v>
      </c>
      <c r="I4" s="81">
        <v>8</v>
      </c>
      <c r="J4" s="81">
        <v>9</v>
      </c>
      <c r="K4" s="82">
        <v>10</v>
      </c>
      <c r="L4" s="82">
        <v>11</v>
      </c>
      <c r="M4" s="82">
        <v>12</v>
      </c>
      <c r="N4" s="82">
        <v>13</v>
      </c>
      <c r="O4" s="82">
        <v>14</v>
      </c>
      <c r="P4" s="82">
        <v>15</v>
      </c>
      <c r="Q4" s="82">
        <v>16</v>
      </c>
      <c r="R4" s="82">
        <v>17</v>
      </c>
      <c r="S4" s="82">
        <v>18</v>
      </c>
      <c r="T4" s="153">
        <v>19</v>
      </c>
      <c r="U4" s="153">
        <v>20</v>
      </c>
      <c r="V4" s="81">
        <v>21</v>
      </c>
      <c r="W4" s="81">
        <v>22</v>
      </c>
      <c r="X4" s="81">
        <v>23</v>
      </c>
      <c r="Y4" s="81">
        <v>24</v>
      </c>
      <c r="Z4" s="81">
        <v>25</v>
      </c>
      <c r="AA4" s="81">
        <v>26</v>
      </c>
      <c r="AB4" s="81">
        <v>27</v>
      </c>
      <c r="AC4" s="81">
        <v>28</v>
      </c>
      <c r="AD4" s="81">
        <v>29</v>
      </c>
      <c r="AE4" s="81">
        <v>30</v>
      </c>
      <c r="AF4" s="81">
        <v>31</v>
      </c>
      <c r="AG4" s="81">
        <v>32</v>
      </c>
      <c r="AH4" s="81">
        <v>33</v>
      </c>
      <c r="AI4" s="81">
        <v>34</v>
      </c>
      <c r="AJ4" s="81">
        <v>35</v>
      </c>
      <c r="AK4" s="81">
        <v>36</v>
      </c>
      <c r="AL4" s="81">
        <v>37</v>
      </c>
      <c r="AM4" s="81">
        <v>38</v>
      </c>
      <c r="AN4" s="81">
        <v>39</v>
      </c>
      <c r="AO4" s="81">
        <v>40</v>
      </c>
      <c r="AP4" s="81">
        <v>41</v>
      </c>
      <c r="AQ4" s="81">
        <v>42</v>
      </c>
      <c r="AR4" s="81">
        <v>43</v>
      </c>
      <c r="AS4" s="81">
        <v>44</v>
      </c>
      <c r="AT4" s="81">
        <v>45</v>
      </c>
      <c r="AU4" s="81">
        <v>46</v>
      </c>
      <c r="AV4" s="81">
        <v>47</v>
      </c>
      <c r="AW4" s="81">
        <v>48</v>
      </c>
      <c r="AX4" s="81">
        <v>49</v>
      </c>
      <c r="AY4" s="81">
        <v>50</v>
      </c>
      <c r="AZ4" s="81">
        <v>51</v>
      </c>
      <c r="BA4" s="81">
        <v>52</v>
      </c>
      <c r="BB4" s="81">
        <v>53</v>
      </c>
      <c r="BC4" s="81">
        <v>54</v>
      </c>
      <c r="BD4" s="81">
        <v>55</v>
      </c>
      <c r="BE4" s="81">
        <v>56</v>
      </c>
      <c r="BF4" s="81">
        <v>57</v>
      </c>
      <c r="BG4" s="81">
        <v>58</v>
      </c>
      <c r="BH4" s="81">
        <v>59</v>
      </c>
      <c r="BI4" s="81">
        <v>60</v>
      </c>
      <c r="BJ4" s="81">
        <v>61</v>
      </c>
      <c r="BK4" s="81">
        <v>62</v>
      </c>
      <c r="BL4" s="81">
        <v>63</v>
      </c>
      <c r="BM4" s="81">
        <v>64</v>
      </c>
      <c r="BN4" s="81">
        <v>65</v>
      </c>
      <c r="BO4" s="81">
        <v>66</v>
      </c>
      <c r="BP4" s="81">
        <v>67</v>
      </c>
      <c r="BQ4" s="81">
        <v>68</v>
      </c>
      <c r="BR4" s="81">
        <v>69</v>
      </c>
      <c r="BS4" s="81">
        <v>70</v>
      </c>
      <c r="BT4" s="81">
        <v>71</v>
      </c>
      <c r="BU4" s="81">
        <v>72</v>
      </c>
      <c r="BV4" s="81">
        <v>73</v>
      </c>
      <c r="BW4" s="81">
        <v>74</v>
      </c>
      <c r="BX4" s="81">
        <v>75</v>
      </c>
      <c r="BY4" s="81">
        <v>76</v>
      </c>
      <c r="BZ4" s="81">
        <v>77</v>
      </c>
      <c r="CA4" s="81">
        <v>78</v>
      </c>
      <c r="CB4" s="81">
        <v>79</v>
      </c>
      <c r="CC4" s="81">
        <v>80</v>
      </c>
      <c r="CD4" s="81">
        <v>81</v>
      </c>
      <c r="CE4" s="81">
        <v>82</v>
      </c>
      <c r="CF4" s="81">
        <v>83</v>
      </c>
      <c r="CG4" s="81">
        <v>84</v>
      </c>
      <c r="CH4" s="81">
        <v>85</v>
      </c>
      <c r="CI4" s="81">
        <v>86</v>
      </c>
      <c r="CJ4" s="81">
        <v>87</v>
      </c>
      <c r="CK4" s="81">
        <v>88</v>
      </c>
      <c r="CL4" s="81">
        <v>89</v>
      </c>
      <c r="CM4" s="81">
        <v>90</v>
      </c>
      <c r="CN4" s="81">
        <v>91</v>
      </c>
      <c r="CO4" s="81">
        <v>92</v>
      </c>
      <c r="CP4" s="81">
        <v>93</v>
      </c>
      <c r="CQ4" s="81">
        <v>94</v>
      </c>
      <c r="CR4" s="81">
        <v>95</v>
      </c>
      <c r="CS4" s="81">
        <v>96</v>
      </c>
      <c r="CT4" s="81">
        <v>97</v>
      </c>
      <c r="CU4" s="81">
        <v>98</v>
      </c>
      <c r="CV4" s="81">
        <v>99</v>
      </c>
      <c r="CW4" s="81">
        <v>100</v>
      </c>
      <c r="CX4" s="81">
        <v>101</v>
      </c>
      <c r="CY4" s="81">
        <v>102</v>
      </c>
      <c r="CZ4" s="81">
        <v>103</v>
      </c>
      <c r="DA4" s="81">
        <v>104</v>
      </c>
      <c r="DB4" s="81">
        <v>105</v>
      </c>
      <c r="DC4" s="81">
        <v>106</v>
      </c>
      <c r="DD4" s="81">
        <v>107</v>
      </c>
      <c r="DE4" s="81">
        <v>108</v>
      </c>
      <c r="DF4" s="81">
        <v>109</v>
      </c>
      <c r="DG4" s="81">
        <v>110</v>
      </c>
      <c r="DH4" s="81">
        <v>111</v>
      </c>
    </row>
    <row r="5" spans="2:112" s="81" customFormat="1" ht="60" x14ac:dyDescent="0.2">
      <c r="B5" s="179" t="s">
        <v>298</v>
      </c>
      <c r="C5" s="179" t="s">
        <v>298</v>
      </c>
      <c r="D5" s="179" t="s">
        <v>298</v>
      </c>
      <c r="E5" s="179" t="s">
        <v>0</v>
      </c>
      <c r="F5" s="179" t="s">
        <v>73</v>
      </c>
      <c r="G5" s="179" t="s">
        <v>230</v>
      </c>
      <c r="H5" s="179" t="s">
        <v>15</v>
      </c>
      <c r="I5" s="179" t="s">
        <v>151</v>
      </c>
      <c r="J5" s="179" t="s">
        <v>152</v>
      </c>
      <c r="K5" s="84" t="s">
        <v>153</v>
      </c>
      <c r="L5" s="84" t="s">
        <v>154</v>
      </c>
      <c r="M5" s="84" t="s">
        <v>155</v>
      </c>
      <c r="N5" s="84" t="s">
        <v>156</v>
      </c>
      <c r="O5" s="84" t="s">
        <v>157</v>
      </c>
      <c r="P5" s="84" t="s">
        <v>158</v>
      </c>
      <c r="Q5" s="84" t="s">
        <v>159</v>
      </c>
      <c r="R5" s="84" t="s">
        <v>160</v>
      </c>
      <c r="S5" s="84" t="s">
        <v>161</v>
      </c>
      <c r="T5" s="84" t="s">
        <v>162</v>
      </c>
      <c r="U5" s="84" t="s">
        <v>163</v>
      </c>
      <c r="V5" s="84" t="s">
        <v>164</v>
      </c>
      <c r="W5" s="84" t="s">
        <v>165</v>
      </c>
      <c r="X5" s="84" t="s">
        <v>166</v>
      </c>
      <c r="Y5" s="84" t="s">
        <v>167</v>
      </c>
      <c r="Z5" s="84" t="s">
        <v>168</v>
      </c>
      <c r="AA5" s="84" t="s">
        <v>169</v>
      </c>
      <c r="AB5" s="84" t="s">
        <v>170</v>
      </c>
      <c r="AC5" s="84" t="s">
        <v>171</v>
      </c>
      <c r="AD5" s="84" t="s">
        <v>172</v>
      </c>
      <c r="AE5" s="84" t="s">
        <v>173</v>
      </c>
    </row>
    <row r="6" spans="2:112" ht="42.75" hidden="1" x14ac:dyDescent="0.25">
      <c r="B6" s="181" t="str">
        <f>C6&amp;"-"&amp;COUNTIF($C$6:C7,C6)</f>
        <v>Domestic Hot WaterMid Rise Office-1</v>
      </c>
      <c r="C6" s="182" t="str">
        <f t="shared" ref="C6:C43" si="0">F6&amp;H6</f>
        <v>Domestic Hot WaterMid Rise Office</v>
      </c>
      <c r="D6" s="183" t="str">
        <f t="shared" ref="D6:D43" si="1">G6&amp;H6</f>
        <v>Heat Pump Water HeatersMid Rise Office</v>
      </c>
      <c r="E6" s="150" t="s">
        <v>174</v>
      </c>
      <c r="F6" s="150" t="s">
        <v>85</v>
      </c>
      <c r="G6" s="150" t="s">
        <v>193</v>
      </c>
      <c r="H6" s="151" t="s">
        <v>45</v>
      </c>
      <c r="I6" s="189">
        <v>0.01</v>
      </c>
      <c r="J6" s="189">
        <v>0.04</v>
      </c>
      <c r="K6" s="189">
        <v>0.01</v>
      </c>
      <c r="L6" s="189">
        <v>0.1</v>
      </c>
      <c r="M6" s="189">
        <f t="shared" ref="M6:M43" si="2">AVERAGE(K6:L6)</f>
        <v>5.5E-2</v>
      </c>
      <c r="N6" s="190">
        <f>VLOOKUP(H6,'Existing Building EUI'!$B$7:$E$16,3,FALSE)</f>
        <v>270</v>
      </c>
      <c r="O6" s="190">
        <f>VLOOKUP(H6,'Existing Building EUI'!$B$7:$E$16,4,FALSE)</f>
        <v>219</v>
      </c>
      <c r="P6" s="191">
        <v>0</v>
      </c>
      <c r="Q6" s="191">
        <v>0</v>
      </c>
      <c r="R6" s="192">
        <v>0</v>
      </c>
      <c r="S6" s="192">
        <v>0</v>
      </c>
      <c r="T6" s="189">
        <v>0.02</v>
      </c>
      <c r="U6" s="189">
        <v>0.1</v>
      </c>
      <c r="V6" s="189">
        <f>T6/-4</f>
        <v>-5.0000000000000001E-3</v>
      </c>
      <c r="W6" s="189">
        <f>U6/-4</f>
        <v>-2.5000000000000001E-2</v>
      </c>
      <c r="X6" s="193">
        <f t="shared" ref="X6:X43" si="3">N6-(N6*P6)</f>
        <v>270</v>
      </c>
      <c r="Y6" s="193">
        <f t="shared" ref="Y6:Y43" si="4">N6-(N6*Q6)</f>
        <v>270</v>
      </c>
      <c r="Z6" s="193">
        <f t="shared" ref="Z6:Z43" si="5">O6-((O6*R6)+(N6*V6))</f>
        <v>220.35</v>
      </c>
      <c r="AA6" s="193">
        <f t="shared" ref="AA6:AA43" si="6">O6-((O6*S6)+(N6*W6))</f>
        <v>225.75</v>
      </c>
      <c r="AB6" s="193">
        <f t="shared" ref="AB6:AB43" si="7">(T6*N6)*-1</f>
        <v>-5.4</v>
      </c>
      <c r="AC6" s="193">
        <f t="shared" ref="AC6:AC21" si="8">U6*N6</f>
        <v>27</v>
      </c>
      <c r="AD6" s="192">
        <f t="shared" ref="AD6:AD43" si="9">(SUM(X6,Z6,AB6)-SUM(N6:O6))/SUM(N6:O6)*-1</f>
        <v>8.2822085889569623E-3</v>
      </c>
      <c r="AE6" s="192">
        <f t="shared" ref="AE6:AE43" si="10">(SUM(Y6,AA6,AC6)-SUM(N6:O6))/SUM(N6:O6)*-1</f>
        <v>-6.9018404907975464E-2</v>
      </c>
    </row>
    <row r="7" spans="2:112" ht="57" hidden="1" customHeight="1" x14ac:dyDescent="0.25">
      <c r="B7" s="181" t="str">
        <f>C7&amp;"-"&amp;COUNTIF($C$7:C7,C7)</f>
        <v>Domestic Hot WaterEducational Facility-1</v>
      </c>
      <c r="C7" s="182" t="str">
        <f t="shared" si="0"/>
        <v>Domestic Hot WaterEducational Facility</v>
      </c>
      <c r="D7" s="183" t="str">
        <f t="shared" si="1"/>
        <v>Heat Pump Water HeatersEducational Facility</v>
      </c>
      <c r="E7" s="150" t="s">
        <v>174</v>
      </c>
      <c r="F7" s="150" t="s">
        <v>85</v>
      </c>
      <c r="G7" s="150" t="s">
        <v>193</v>
      </c>
      <c r="H7" s="151" t="s">
        <v>144</v>
      </c>
      <c r="I7" s="189">
        <v>0.01</v>
      </c>
      <c r="J7" s="189">
        <v>0.05</v>
      </c>
      <c r="K7" s="189">
        <v>0.01</v>
      </c>
      <c r="L7" s="189">
        <v>0.15</v>
      </c>
      <c r="M7" s="189">
        <f t="shared" si="2"/>
        <v>0.08</v>
      </c>
      <c r="N7" s="190">
        <f>VLOOKUP(H7,'Existing Building EUI'!$B$7:$E$16,3,FALSE)</f>
        <v>201</v>
      </c>
      <c r="O7" s="190">
        <f>VLOOKUP(H7,'Existing Building EUI'!$B$7:$E$16,4,FALSE)</f>
        <v>284</v>
      </c>
      <c r="P7" s="191">
        <v>0</v>
      </c>
      <c r="Q7" s="191">
        <v>0</v>
      </c>
      <c r="R7" s="192">
        <v>0</v>
      </c>
      <c r="S7" s="192">
        <v>0</v>
      </c>
      <c r="T7" s="189">
        <v>0.02</v>
      </c>
      <c r="U7" s="189">
        <v>0.15</v>
      </c>
      <c r="V7" s="189">
        <f>T7/-4</f>
        <v>-5.0000000000000001E-3</v>
      </c>
      <c r="W7" s="189">
        <f>U7/-4</f>
        <v>-3.7499999999999999E-2</v>
      </c>
      <c r="X7" s="194">
        <f t="shared" si="3"/>
        <v>201</v>
      </c>
      <c r="Y7" s="194">
        <f t="shared" si="4"/>
        <v>201</v>
      </c>
      <c r="Z7" s="194">
        <f t="shared" si="5"/>
        <v>285.005</v>
      </c>
      <c r="AA7" s="194">
        <f t="shared" si="6"/>
        <v>291.53750000000002</v>
      </c>
      <c r="AB7" s="194">
        <f t="shared" si="7"/>
        <v>-4.0200000000000005</v>
      </c>
      <c r="AC7" s="194">
        <f t="shared" si="8"/>
        <v>30.15</v>
      </c>
      <c r="AD7" s="192">
        <f t="shared" si="9"/>
        <v>6.2164948453607965E-3</v>
      </c>
      <c r="AE7" s="195">
        <f t="shared" si="10"/>
        <v>-7.7706185567010311E-2</v>
      </c>
    </row>
    <row r="8" spans="2:112" ht="42.75" hidden="1" customHeight="1" x14ac:dyDescent="0.25">
      <c r="B8" s="181" t="str">
        <f>C8&amp;"-"&amp;COUNTIF($C$7:C8,C8)</f>
        <v>Domestic Hot WaterBig Box Store-1</v>
      </c>
      <c r="C8" s="182" t="str">
        <f t="shared" si="0"/>
        <v>Domestic Hot WaterBig Box Store</v>
      </c>
      <c r="D8" s="183" t="str">
        <f t="shared" si="1"/>
        <v>Electric Water HeatersBig Box Store</v>
      </c>
      <c r="E8" s="150" t="s">
        <v>176</v>
      </c>
      <c r="F8" s="150" t="s">
        <v>85</v>
      </c>
      <c r="G8" s="150" t="s">
        <v>196</v>
      </c>
      <c r="H8" s="151" t="s">
        <v>50</v>
      </c>
      <c r="I8" s="189">
        <v>0.01</v>
      </c>
      <c r="J8" s="189">
        <v>0.05</v>
      </c>
      <c r="K8" s="189">
        <v>0.01</v>
      </c>
      <c r="L8" s="189">
        <v>0.1</v>
      </c>
      <c r="M8" s="189">
        <f t="shared" si="2"/>
        <v>5.5E-2</v>
      </c>
      <c r="N8" s="190">
        <f>VLOOKUP(H8,'Existing Building EUI'!$B$7:$E$16,3,FALSE)</f>
        <v>159</v>
      </c>
      <c r="O8" s="190">
        <f>VLOOKUP(H8,'Existing Building EUI'!$B$7:$E$16,4,FALSE)</f>
        <v>231</v>
      </c>
      <c r="P8" s="191">
        <v>0</v>
      </c>
      <c r="Q8" s="191">
        <v>0</v>
      </c>
      <c r="R8" s="192">
        <v>0</v>
      </c>
      <c r="S8" s="192">
        <v>0</v>
      </c>
      <c r="T8" s="189">
        <v>0.02</v>
      </c>
      <c r="U8" s="189">
        <v>0.15</v>
      </c>
      <c r="V8" s="189">
        <f>T8/-1</f>
        <v>-0.02</v>
      </c>
      <c r="W8" s="189">
        <f>U8/-1</f>
        <v>-0.15</v>
      </c>
      <c r="X8" s="194">
        <f t="shared" si="3"/>
        <v>159</v>
      </c>
      <c r="Y8" s="194">
        <f t="shared" si="4"/>
        <v>159</v>
      </c>
      <c r="Z8" s="194">
        <f t="shared" si="5"/>
        <v>234.18</v>
      </c>
      <c r="AA8" s="194">
        <f t="shared" si="6"/>
        <v>254.85</v>
      </c>
      <c r="AB8" s="194">
        <f t="shared" si="7"/>
        <v>-3.18</v>
      </c>
      <c r="AC8" s="194">
        <f t="shared" si="8"/>
        <v>23.849999999999998</v>
      </c>
      <c r="AD8" s="192">
        <f t="shared" si="9"/>
        <v>0</v>
      </c>
      <c r="AE8" s="195">
        <f t="shared" si="10"/>
        <v>-0.12230769230769242</v>
      </c>
    </row>
    <row r="9" spans="2:112" ht="42.75" hidden="1" x14ac:dyDescent="0.25">
      <c r="B9" s="181" t="str">
        <f>C9&amp;"-"&amp;COUNTIF($C$7:C9,C9)</f>
        <v>Domestic Hot WaterLow Rise Office-1</v>
      </c>
      <c r="C9" s="182" t="str">
        <f t="shared" si="0"/>
        <v>Domestic Hot WaterLow Rise Office</v>
      </c>
      <c r="D9" s="183" t="str">
        <f t="shared" si="1"/>
        <v>Heat Pump Water HeatersLow Rise Office</v>
      </c>
      <c r="E9" s="150" t="s">
        <v>174</v>
      </c>
      <c r="F9" s="150" t="s">
        <v>85</v>
      </c>
      <c r="G9" s="150" t="s">
        <v>193</v>
      </c>
      <c r="H9" s="151" t="s">
        <v>63</v>
      </c>
      <c r="I9" s="189">
        <v>0.01</v>
      </c>
      <c r="J9" s="189">
        <v>0.05</v>
      </c>
      <c r="K9" s="189">
        <v>0.01</v>
      </c>
      <c r="L9" s="189">
        <v>0.1</v>
      </c>
      <c r="M9" s="189">
        <f t="shared" si="2"/>
        <v>5.5E-2</v>
      </c>
      <c r="N9" s="190">
        <f>VLOOKUP(H9,'Existing Building EUI'!$B$7:$E$16,3,FALSE)</f>
        <v>149</v>
      </c>
      <c r="O9" s="190">
        <f>VLOOKUP(H9,'Existing Building EUI'!$B$7:$E$16,4,FALSE)</f>
        <v>204</v>
      </c>
      <c r="P9" s="191">
        <v>0</v>
      </c>
      <c r="Q9" s="191">
        <v>0</v>
      </c>
      <c r="R9" s="192">
        <v>0</v>
      </c>
      <c r="S9" s="192">
        <v>0</v>
      </c>
      <c r="T9" s="189">
        <v>0.02</v>
      </c>
      <c r="U9" s="189">
        <v>0.15</v>
      </c>
      <c r="V9" s="189">
        <f>T9/-4</f>
        <v>-5.0000000000000001E-3</v>
      </c>
      <c r="W9" s="189">
        <f>U9/-4</f>
        <v>-3.7499999999999999E-2</v>
      </c>
      <c r="X9" s="194">
        <f t="shared" si="3"/>
        <v>149</v>
      </c>
      <c r="Y9" s="194">
        <f t="shared" si="4"/>
        <v>149</v>
      </c>
      <c r="Z9" s="194">
        <f t="shared" si="5"/>
        <v>204.745</v>
      </c>
      <c r="AA9" s="194">
        <f t="shared" si="6"/>
        <v>209.58750000000001</v>
      </c>
      <c r="AB9" s="194">
        <f t="shared" si="7"/>
        <v>-2.98</v>
      </c>
      <c r="AC9" s="194">
        <f t="shared" si="8"/>
        <v>22.349999999999998</v>
      </c>
      <c r="AD9" s="192">
        <f t="shared" si="9"/>
        <v>6.3314447592068375E-3</v>
      </c>
      <c r="AE9" s="195">
        <f t="shared" si="10"/>
        <v>-7.9143059490084988E-2</v>
      </c>
    </row>
    <row r="10" spans="2:112" ht="28.5" hidden="1" x14ac:dyDescent="0.25">
      <c r="B10" s="181" t="str">
        <f>C10&amp;"-"&amp;COUNTIF($C$7:C10,C10)</f>
        <v>Domestic Hot WaterStrip Mall-1</v>
      </c>
      <c r="C10" s="182" t="str">
        <f t="shared" si="0"/>
        <v>Domestic Hot WaterStrip Mall</v>
      </c>
      <c r="D10" s="183" t="str">
        <f t="shared" si="1"/>
        <v>Electric Water HeatersStrip Mall</v>
      </c>
      <c r="E10" s="150" t="s">
        <v>176</v>
      </c>
      <c r="F10" s="150" t="s">
        <v>85</v>
      </c>
      <c r="G10" s="150" t="s">
        <v>196</v>
      </c>
      <c r="H10" s="151" t="s">
        <v>51</v>
      </c>
      <c r="I10" s="189">
        <v>0.01</v>
      </c>
      <c r="J10" s="189">
        <v>0.05</v>
      </c>
      <c r="K10" s="189">
        <v>0.01</v>
      </c>
      <c r="L10" s="189">
        <v>0.1</v>
      </c>
      <c r="M10" s="189">
        <f t="shared" si="2"/>
        <v>5.5E-2</v>
      </c>
      <c r="N10" s="190">
        <f>VLOOKUP(H10,'Existing Building EUI'!$B$7:$E$16,3,FALSE)</f>
        <v>127</v>
      </c>
      <c r="O10" s="190">
        <f>VLOOKUP(H10,'Existing Building EUI'!$B$7:$E$16,4,FALSE)</f>
        <v>248</v>
      </c>
      <c r="P10" s="191">
        <v>0</v>
      </c>
      <c r="Q10" s="191">
        <v>0</v>
      </c>
      <c r="R10" s="192">
        <v>0</v>
      </c>
      <c r="S10" s="192">
        <v>0</v>
      </c>
      <c r="T10" s="189">
        <v>0.02</v>
      </c>
      <c r="U10" s="189">
        <v>0.2</v>
      </c>
      <c r="V10" s="189">
        <f>T10/-1</f>
        <v>-0.02</v>
      </c>
      <c r="W10" s="189">
        <f>U10/-1</f>
        <v>-0.2</v>
      </c>
      <c r="X10" s="194">
        <f t="shared" si="3"/>
        <v>127</v>
      </c>
      <c r="Y10" s="194">
        <f t="shared" si="4"/>
        <v>127</v>
      </c>
      <c r="Z10" s="194">
        <f t="shared" si="5"/>
        <v>250.54</v>
      </c>
      <c r="AA10" s="194">
        <f t="shared" si="6"/>
        <v>273.39999999999998</v>
      </c>
      <c r="AB10" s="194">
        <f t="shared" si="7"/>
        <v>-2.54</v>
      </c>
      <c r="AC10" s="194">
        <f t="shared" si="8"/>
        <v>25.400000000000002</v>
      </c>
      <c r="AD10" s="192">
        <f t="shared" si="9"/>
        <v>1.5158245029548803E-16</v>
      </c>
      <c r="AE10" s="195">
        <f t="shared" si="10"/>
        <v>-0.13546666666666654</v>
      </c>
    </row>
    <row r="11" spans="2:112" ht="42.75" hidden="1" x14ac:dyDescent="0.25">
      <c r="B11" s="181" t="str">
        <f>C11&amp;"-"&amp;COUNTIF($C$7:C11,C11)</f>
        <v>Domestic Hot WaterMixed Use-1</v>
      </c>
      <c r="C11" s="182" t="str">
        <f t="shared" si="0"/>
        <v>Domestic Hot WaterMixed Use</v>
      </c>
      <c r="D11" s="183" t="str">
        <f t="shared" si="1"/>
        <v>Heat Pump Water HeatersMixed Use</v>
      </c>
      <c r="E11" s="150" t="s">
        <v>174</v>
      </c>
      <c r="F11" s="150" t="s">
        <v>85</v>
      </c>
      <c r="G11" s="150" t="s">
        <v>193</v>
      </c>
      <c r="H11" s="151" t="s">
        <v>1</v>
      </c>
      <c r="I11" s="189">
        <v>0.11</v>
      </c>
      <c r="J11" s="189">
        <v>0.2</v>
      </c>
      <c r="K11" s="189">
        <v>0.21</v>
      </c>
      <c r="L11" s="189">
        <v>0.3</v>
      </c>
      <c r="M11" s="189">
        <f t="shared" si="2"/>
        <v>0.255</v>
      </c>
      <c r="N11" s="190">
        <f>VLOOKUP(H11,'Existing Building EUI'!$B$7:$E$16,3,FALSE)</f>
        <v>268</v>
      </c>
      <c r="O11" s="190">
        <f>VLOOKUP(H11,'Existing Building EUI'!$B$7:$E$16,4,FALSE)</f>
        <v>322</v>
      </c>
      <c r="P11" s="191">
        <v>0</v>
      </c>
      <c r="Q11" s="191">
        <v>0</v>
      </c>
      <c r="R11" s="192">
        <v>0</v>
      </c>
      <c r="S11" s="192">
        <v>0</v>
      </c>
      <c r="T11" s="189">
        <v>0.2</v>
      </c>
      <c r="U11" s="189">
        <v>0.4</v>
      </c>
      <c r="V11" s="189">
        <f t="shared" ref="V11:V13" si="11">T11/-4</f>
        <v>-0.05</v>
      </c>
      <c r="W11" s="189">
        <f t="shared" ref="W11:W13" si="12">U11/-4</f>
        <v>-0.1</v>
      </c>
      <c r="X11" s="194">
        <f t="shared" si="3"/>
        <v>268</v>
      </c>
      <c r="Y11" s="194">
        <f t="shared" si="4"/>
        <v>268</v>
      </c>
      <c r="Z11" s="194">
        <f t="shared" si="5"/>
        <v>335.4</v>
      </c>
      <c r="AA11" s="194">
        <f t="shared" si="6"/>
        <v>348.8</v>
      </c>
      <c r="AB11" s="194">
        <f t="shared" si="7"/>
        <v>-53.6</v>
      </c>
      <c r="AC11" s="194">
        <f t="shared" si="8"/>
        <v>107.2</v>
      </c>
      <c r="AD11" s="192">
        <f t="shared" si="9"/>
        <v>6.8135593220339061E-2</v>
      </c>
      <c r="AE11" s="195">
        <f t="shared" si="10"/>
        <v>-0.22711864406779661</v>
      </c>
    </row>
    <row r="12" spans="2:112" ht="42.75" hidden="1" x14ac:dyDescent="0.25">
      <c r="B12" s="181" t="str">
        <f>C12&amp;"-"&amp;COUNTIF($C$7:C12,C12)</f>
        <v>Domestic Hot WaterCondominium-1</v>
      </c>
      <c r="C12" s="182" t="str">
        <f t="shared" si="0"/>
        <v>Domestic Hot WaterCondominium</v>
      </c>
      <c r="D12" s="183" t="str">
        <f t="shared" si="1"/>
        <v>Heat Pump Water HeatersCondominium</v>
      </c>
      <c r="E12" s="150" t="s">
        <v>182</v>
      </c>
      <c r="F12" s="150" t="s">
        <v>85</v>
      </c>
      <c r="G12" s="150" t="s">
        <v>193</v>
      </c>
      <c r="H12" s="151" t="s">
        <v>54</v>
      </c>
      <c r="I12" s="196">
        <v>0.01</v>
      </c>
      <c r="J12" s="196">
        <v>0.1</v>
      </c>
      <c r="K12" s="196">
        <v>0.01</v>
      </c>
      <c r="L12" s="196">
        <v>0.1</v>
      </c>
      <c r="M12" s="189">
        <f t="shared" si="2"/>
        <v>5.5E-2</v>
      </c>
      <c r="N12" s="190">
        <f>VLOOKUP(H12,'Existing Building EUI'!$B$7:$E$16,3,FALSE)</f>
        <v>215</v>
      </c>
      <c r="O12" s="190">
        <f>VLOOKUP(H12,'Existing Building EUI'!$B$7:$E$16,4,FALSE)</f>
        <v>93</v>
      </c>
      <c r="P12" s="191">
        <v>0</v>
      </c>
      <c r="Q12" s="191">
        <v>0</v>
      </c>
      <c r="R12" s="192">
        <v>0</v>
      </c>
      <c r="S12" s="192">
        <v>0</v>
      </c>
      <c r="T12" s="189">
        <v>0.01</v>
      </c>
      <c r="U12" s="189">
        <v>0.2</v>
      </c>
      <c r="V12" s="189">
        <f t="shared" si="11"/>
        <v>-2.5000000000000001E-3</v>
      </c>
      <c r="W12" s="189">
        <f t="shared" si="12"/>
        <v>-0.05</v>
      </c>
      <c r="X12" s="194">
        <f t="shared" si="3"/>
        <v>215</v>
      </c>
      <c r="Y12" s="194">
        <f t="shared" si="4"/>
        <v>215</v>
      </c>
      <c r="Z12" s="194">
        <f t="shared" si="5"/>
        <v>93.537499999999994</v>
      </c>
      <c r="AA12" s="194">
        <f t="shared" si="6"/>
        <v>103.75</v>
      </c>
      <c r="AB12" s="194">
        <f t="shared" si="7"/>
        <v>-2.15</v>
      </c>
      <c r="AC12" s="194">
        <f t="shared" si="8"/>
        <v>43</v>
      </c>
      <c r="AD12" s="192">
        <f t="shared" si="9"/>
        <v>5.2353896103894629E-3</v>
      </c>
      <c r="AE12" s="195">
        <f t="shared" si="10"/>
        <v>-0.17451298701298701</v>
      </c>
    </row>
    <row r="13" spans="2:112" ht="42.75" hidden="1" x14ac:dyDescent="0.25">
      <c r="B13" s="181" t="str">
        <f>C13&amp;"-"&amp;COUNTIF($C$7:C13,C13)</f>
        <v>Domestic Hot WaterLow Rise Rental Apartment-1</v>
      </c>
      <c r="C13" s="182" t="str">
        <f t="shared" si="0"/>
        <v>Domestic Hot WaterLow Rise Rental Apartment</v>
      </c>
      <c r="D13" s="183" t="str">
        <f t="shared" si="1"/>
        <v>Heat Pump Water HeatersLow Rise Rental Apartment</v>
      </c>
      <c r="E13" s="150" t="s">
        <v>182</v>
      </c>
      <c r="F13" s="150" t="s">
        <v>85</v>
      </c>
      <c r="G13" s="150" t="s">
        <v>193</v>
      </c>
      <c r="H13" s="151" t="s">
        <v>57</v>
      </c>
      <c r="I13" s="189">
        <v>0.11</v>
      </c>
      <c r="J13" s="189">
        <v>0.2</v>
      </c>
      <c r="K13" s="189">
        <v>0.21</v>
      </c>
      <c r="L13" s="189">
        <v>0.3</v>
      </c>
      <c r="M13" s="189">
        <f t="shared" si="2"/>
        <v>0.255</v>
      </c>
      <c r="N13" s="190">
        <f>VLOOKUP(H13,'Existing Building EUI'!$B$7:$E$16,3,FALSE)</f>
        <v>234</v>
      </c>
      <c r="O13" s="190">
        <f>VLOOKUP(H13,'Existing Building EUI'!$B$7:$E$16,4,FALSE)</f>
        <v>107</v>
      </c>
      <c r="P13" s="191">
        <v>0</v>
      </c>
      <c r="Q13" s="191">
        <v>0</v>
      </c>
      <c r="R13" s="192">
        <v>0</v>
      </c>
      <c r="S13" s="192">
        <v>0</v>
      </c>
      <c r="T13" s="189">
        <v>0.22</v>
      </c>
      <c r="U13" s="189">
        <v>0.3</v>
      </c>
      <c r="V13" s="189">
        <f t="shared" si="11"/>
        <v>-5.5E-2</v>
      </c>
      <c r="W13" s="189">
        <f t="shared" si="12"/>
        <v>-7.4999999999999997E-2</v>
      </c>
      <c r="X13" s="194">
        <f t="shared" si="3"/>
        <v>234</v>
      </c>
      <c r="Y13" s="194">
        <f t="shared" si="4"/>
        <v>234</v>
      </c>
      <c r="Z13" s="194">
        <f t="shared" si="5"/>
        <v>119.87</v>
      </c>
      <c r="AA13" s="194">
        <f t="shared" si="6"/>
        <v>124.55</v>
      </c>
      <c r="AB13" s="194">
        <f t="shared" si="7"/>
        <v>-51.48</v>
      </c>
      <c r="AC13" s="194">
        <f t="shared" si="8"/>
        <v>70.2</v>
      </c>
      <c r="AD13" s="192">
        <f t="shared" si="9"/>
        <v>0.11322580645161294</v>
      </c>
      <c r="AE13" s="195">
        <f t="shared" si="10"/>
        <v>-0.25733137829912023</v>
      </c>
    </row>
    <row r="14" spans="2:112" ht="28.5" hidden="1" x14ac:dyDescent="0.25">
      <c r="B14" s="181" t="str">
        <f>C14&amp;"-"&amp;COUNTIF($C$7:C14,C14)</f>
        <v>Domestic Hot WaterSingle Family Home Attached-1</v>
      </c>
      <c r="C14" s="182" t="str">
        <f t="shared" si="0"/>
        <v>Domestic Hot WaterSingle Family Home Attached</v>
      </c>
      <c r="D14" s="183" t="str">
        <f t="shared" si="1"/>
        <v>Electric Water HeatersSingle Family Home Attached</v>
      </c>
      <c r="E14" s="150" t="s">
        <v>176</v>
      </c>
      <c r="F14" s="150" t="s">
        <v>85</v>
      </c>
      <c r="G14" s="150" t="s">
        <v>196</v>
      </c>
      <c r="H14" s="151" t="s">
        <v>58</v>
      </c>
      <c r="I14" s="189">
        <v>0.11</v>
      </c>
      <c r="J14" s="189">
        <v>0.2</v>
      </c>
      <c r="K14" s="189">
        <v>0.11</v>
      </c>
      <c r="L14" s="189">
        <v>0.2</v>
      </c>
      <c r="M14" s="189">
        <f t="shared" si="2"/>
        <v>0.155</v>
      </c>
      <c r="N14" s="190">
        <f>VLOOKUP(H14,'Existing Building EUI'!$B$7:$E$16,3,FALSE)</f>
        <v>147</v>
      </c>
      <c r="O14" s="190">
        <f>VLOOKUP(H14,'Existing Building EUI'!$B$7:$E$16,4,FALSE)</f>
        <v>43</v>
      </c>
      <c r="P14" s="191">
        <v>0</v>
      </c>
      <c r="Q14" s="191">
        <v>0</v>
      </c>
      <c r="R14" s="192">
        <v>0</v>
      </c>
      <c r="S14" s="192">
        <v>0</v>
      </c>
      <c r="T14" s="189">
        <v>0.2</v>
      </c>
      <c r="U14" s="189">
        <v>0.3</v>
      </c>
      <c r="V14" s="189">
        <f t="shared" ref="V14:V15" si="13">T14/-1</f>
        <v>-0.2</v>
      </c>
      <c r="W14" s="189">
        <f t="shared" ref="W14:W15" si="14">U14/-1</f>
        <v>-0.3</v>
      </c>
      <c r="X14" s="194">
        <f t="shared" si="3"/>
        <v>147</v>
      </c>
      <c r="Y14" s="194">
        <f t="shared" si="4"/>
        <v>147</v>
      </c>
      <c r="Z14" s="194">
        <f t="shared" si="5"/>
        <v>72.400000000000006</v>
      </c>
      <c r="AA14" s="194">
        <f t="shared" si="6"/>
        <v>87.1</v>
      </c>
      <c r="AB14" s="194">
        <f t="shared" si="7"/>
        <v>-29.400000000000002</v>
      </c>
      <c r="AC14" s="194">
        <f t="shared" si="8"/>
        <v>44.1</v>
      </c>
      <c r="AD14" s="192">
        <f t="shared" si="9"/>
        <v>0</v>
      </c>
      <c r="AE14" s="195">
        <f t="shared" si="10"/>
        <v>-0.46421052631578941</v>
      </c>
    </row>
    <row r="15" spans="2:112" ht="28.5" hidden="1" x14ac:dyDescent="0.25">
      <c r="B15" s="181" t="str">
        <f>C15&amp;"-"&amp;COUNTIF($C$7:C15,C15)</f>
        <v>Domestic Hot WaterSingle Family Home Detached-1</v>
      </c>
      <c r="C15" s="182" t="str">
        <f t="shared" si="0"/>
        <v>Domestic Hot WaterSingle Family Home Detached</v>
      </c>
      <c r="D15" s="183" t="str">
        <f t="shared" si="1"/>
        <v>Electric Water HeatersSingle Family Home Detached</v>
      </c>
      <c r="E15" s="150" t="s">
        <v>176</v>
      </c>
      <c r="F15" s="150" t="s">
        <v>85</v>
      </c>
      <c r="G15" s="150" t="s">
        <v>196</v>
      </c>
      <c r="H15" s="151" t="s">
        <v>60</v>
      </c>
      <c r="I15" s="189">
        <v>0.21</v>
      </c>
      <c r="J15" s="189">
        <v>0.3</v>
      </c>
      <c r="K15" s="189">
        <v>0.21</v>
      </c>
      <c r="L15" s="189">
        <v>0.3</v>
      </c>
      <c r="M15" s="189">
        <f t="shared" si="2"/>
        <v>0.255</v>
      </c>
      <c r="N15" s="190">
        <f>VLOOKUP(H15,'Existing Building EUI'!$B$7:$E$16,3,FALSE)</f>
        <v>203</v>
      </c>
      <c r="O15" s="190">
        <f>VLOOKUP(H15,'Existing Building EUI'!$B$7:$E$16,4,FALSE)</f>
        <v>38</v>
      </c>
      <c r="P15" s="191">
        <v>0</v>
      </c>
      <c r="Q15" s="191">
        <v>0</v>
      </c>
      <c r="R15" s="192">
        <v>0</v>
      </c>
      <c r="S15" s="192">
        <v>0</v>
      </c>
      <c r="T15" s="189">
        <v>0.2</v>
      </c>
      <c r="U15" s="189">
        <v>0.3</v>
      </c>
      <c r="V15" s="189">
        <f t="shared" si="13"/>
        <v>-0.2</v>
      </c>
      <c r="W15" s="189">
        <f t="shared" si="14"/>
        <v>-0.3</v>
      </c>
      <c r="X15" s="194">
        <f t="shared" si="3"/>
        <v>203</v>
      </c>
      <c r="Y15" s="194">
        <f t="shared" si="4"/>
        <v>203</v>
      </c>
      <c r="Z15" s="194">
        <f t="shared" si="5"/>
        <v>78.599999999999994</v>
      </c>
      <c r="AA15" s="194">
        <f t="shared" si="6"/>
        <v>98.9</v>
      </c>
      <c r="AB15" s="194">
        <f t="shared" si="7"/>
        <v>-40.6</v>
      </c>
      <c r="AC15" s="194">
        <f t="shared" si="8"/>
        <v>60.9</v>
      </c>
      <c r="AD15" s="192">
        <f t="shared" si="9"/>
        <v>-1.179324042755353E-16</v>
      </c>
      <c r="AE15" s="195">
        <f t="shared" si="10"/>
        <v>-0.50539419087136905</v>
      </c>
    </row>
    <row r="16" spans="2:112" ht="28.5" hidden="1" x14ac:dyDescent="0.25">
      <c r="B16" s="181" t="str">
        <f>C16&amp;"-"&amp;COUNTIF($C$7:C16,C16)</f>
        <v>Gas AppliancesEducational Facility-1</v>
      </c>
      <c r="C16" s="182" t="str">
        <f t="shared" si="0"/>
        <v>Gas AppliancesEducational Facility</v>
      </c>
      <c r="D16" s="183" t="str">
        <f t="shared" si="1"/>
        <v>Electric and Induction RangesEducational Facility</v>
      </c>
      <c r="E16" s="150" t="s">
        <v>175</v>
      </c>
      <c r="F16" s="150" t="s">
        <v>100</v>
      </c>
      <c r="G16" s="150" t="s">
        <v>194</v>
      </c>
      <c r="H16" s="151" t="s">
        <v>144</v>
      </c>
      <c r="I16" s="189">
        <v>0.01</v>
      </c>
      <c r="J16" s="189">
        <v>0.1</v>
      </c>
      <c r="K16" s="189">
        <v>0.1</v>
      </c>
      <c r="L16" s="189">
        <v>0.15</v>
      </c>
      <c r="M16" s="189">
        <f t="shared" si="2"/>
        <v>0.125</v>
      </c>
      <c r="N16" s="190">
        <f>VLOOKUP(H16,'Existing Building EUI'!$B$7:$E$16,3,FALSE)</f>
        <v>201</v>
      </c>
      <c r="O16" s="190">
        <f>VLOOKUP(H16,'Existing Building EUI'!$B$7:$E$16,4,FALSE)</f>
        <v>284</v>
      </c>
      <c r="P16" s="191">
        <v>1</v>
      </c>
      <c r="Q16" s="189">
        <v>1</v>
      </c>
      <c r="R16" s="192">
        <v>0</v>
      </c>
      <c r="S16" s="192">
        <v>0</v>
      </c>
      <c r="T16" s="189">
        <v>0</v>
      </c>
      <c r="U16" s="189">
        <v>0</v>
      </c>
      <c r="V16" s="197">
        <f t="shared" ref="V16:V21" si="15">(P16*0.02)/-2</f>
        <v>-0.01</v>
      </c>
      <c r="W16" s="197">
        <f t="shared" ref="W16:W21" si="16">(Q16*0.15)/-2</f>
        <v>-7.4999999999999997E-2</v>
      </c>
      <c r="X16" s="194">
        <f t="shared" si="3"/>
        <v>0</v>
      </c>
      <c r="Y16" s="194">
        <f t="shared" si="4"/>
        <v>0</v>
      </c>
      <c r="Z16" s="194">
        <f t="shared" si="5"/>
        <v>286.01</v>
      </c>
      <c r="AA16" s="194">
        <f t="shared" si="6"/>
        <v>299.07499999999999</v>
      </c>
      <c r="AB16" s="194">
        <f t="shared" si="7"/>
        <v>0</v>
      </c>
      <c r="AC16" s="194">
        <f t="shared" si="8"/>
        <v>0</v>
      </c>
      <c r="AD16" s="192">
        <f t="shared" si="9"/>
        <v>0.41028865979381446</v>
      </c>
      <c r="AE16" s="195">
        <f t="shared" si="10"/>
        <v>0.38335051546391757</v>
      </c>
    </row>
    <row r="17" spans="2:31" ht="42.75" hidden="1" x14ac:dyDescent="0.25">
      <c r="B17" s="181" t="str">
        <f>C17&amp;"-"&amp;COUNTIF($C$7:C17,C17)</f>
        <v>Gas AppliancesMixed Use-1</v>
      </c>
      <c r="C17" s="182" t="str">
        <f t="shared" si="0"/>
        <v>Gas AppliancesMixed Use</v>
      </c>
      <c r="D17" s="183" t="str">
        <f t="shared" si="1"/>
        <v>Electric and Induction Ranges &amp; Heat Pump Electric DryersMixed Use</v>
      </c>
      <c r="E17" s="150" t="s">
        <v>181</v>
      </c>
      <c r="F17" s="150" t="s">
        <v>100</v>
      </c>
      <c r="G17" s="150" t="s">
        <v>195</v>
      </c>
      <c r="H17" s="151" t="s">
        <v>1</v>
      </c>
      <c r="I17" s="189">
        <v>0.01</v>
      </c>
      <c r="J17" s="189">
        <v>0.1</v>
      </c>
      <c r="K17" s="189">
        <v>0.05</v>
      </c>
      <c r="L17" s="189">
        <v>0.25</v>
      </c>
      <c r="M17" s="189">
        <f t="shared" si="2"/>
        <v>0.15</v>
      </c>
      <c r="N17" s="190">
        <f>VLOOKUP(H17,'Existing Building EUI'!$B$7:$E$16,3,FALSE)</f>
        <v>268</v>
      </c>
      <c r="O17" s="190">
        <f>VLOOKUP(H17,'Existing Building EUI'!$B$7:$E$16,4,FALSE)</f>
        <v>322</v>
      </c>
      <c r="P17" s="191">
        <v>1</v>
      </c>
      <c r="Q17" s="189">
        <v>1</v>
      </c>
      <c r="R17" s="192">
        <v>0</v>
      </c>
      <c r="S17" s="192">
        <v>0</v>
      </c>
      <c r="T17" s="189">
        <v>0</v>
      </c>
      <c r="U17" s="189">
        <v>0</v>
      </c>
      <c r="V17" s="197">
        <f t="shared" si="15"/>
        <v>-0.01</v>
      </c>
      <c r="W17" s="197">
        <f t="shared" si="16"/>
        <v>-7.4999999999999997E-2</v>
      </c>
      <c r="X17" s="194">
        <f t="shared" si="3"/>
        <v>0</v>
      </c>
      <c r="Y17" s="194">
        <f t="shared" si="4"/>
        <v>0</v>
      </c>
      <c r="Z17" s="194">
        <f t="shared" si="5"/>
        <v>324.68</v>
      </c>
      <c r="AA17" s="194">
        <f t="shared" si="6"/>
        <v>342.1</v>
      </c>
      <c r="AB17" s="194">
        <f t="shared" si="7"/>
        <v>0</v>
      </c>
      <c r="AC17" s="194">
        <f t="shared" si="8"/>
        <v>0</v>
      </c>
      <c r="AD17" s="192">
        <f t="shared" si="9"/>
        <v>0.44969491525423727</v>
      </c>
      <c r="AE17" s="195">
        <f t="shared" si="10"/>
        <v>0.42016949152542371</v>
      </c>
    </row>
    <row r="18" spans="2:31" ht="42.75" hidden="1" x14ac:dyDescent="0.25">
      <c r="B18" s="181" t="str">
        <f>C18&amp;"-"&amp;COUNTIF($C$7:C18,C18)</f>
        <v>Gas AppliancesCondominium-1</v>
      </c>
      <c r="C18" s="182" t="str">
        <f t="shared" si="0"/>
        <v>Gas AppliancesCondominium</v>
      </c>
      <c r="D18" s="183" t="str">
        <f t="shared" si="1"/>
        <v>Electric and Induction Ranges &amp; Heat Pump Electric DryersCondominium</v>
      </c>
      <c r="E18" s="150" t="s">
        <v>181</v>
      </c>
      <c r="F18" s="150" t="s">
        <v>100</v>
      </c>
      <c r="G18" s="150" t="s">
        <v>195</v>
      </c>
      <c r="H18" s="151" t="s">
        <v>54</v>
      </c>
      <c r="I18" s="189">
        <v>0.01</v>
      </c>
      <c r="J18" s="189">
        <v>0.1</v>
      </c>
      <c r="K18" s="189">
        <v>0.05</v>
      </c>
      <c r="L18" s="189">
        <v>0.2</v>
      </c>
      <c r="M18" s="189">
        <f t="shared" si="2"/>
        <v>0.125</v>
      </c>
      <c r="N18" s="190">
        <f>VLOOKUP(H18,'Existing Building EUI'!$B$7:$E$16,3,FALSE)</f>
        <v>215</v>
      </c>
      <c r="O18" s="190">
        <f>VLOOKUP(H18,'Existing Building EUI'!$B$7:$E$16,4,FALSE)</f>
        <v>93</v>
      </c>
      <c r="P18" s="191">
        <v>1</v>
      </c>
      <c r="Q18" s="189">
        <v>1</v>
      </c>
      <c r="R18" s="192">
        <v>0</v>
      </c>
      <c r="S18" s="192">
        <v>0</v>
      </c>
      <c r="T18" s="189">
        <v>0</v>
      </c>
      <c r="U18" s="189">
        <v>0</v>
      </c>
      <c r="V18" s="197">
        <f t="shared" si="15"/>
        <v>-0.01</v>
      </c>
      <c r="W18" s="197">
        <f t="shared" si="16"/>
        <v>-7.4999999999999997E-2</v>
      </c>
      <c r="X18" s="194">
        <f t="shared" si="3"/>
        <v>0</v>
      </c>
      <c r="Y18" s="194">
        <f t="shared" si="4"/>
        <v>0</v>
      </c>
      <c r="Z18" s="194">
        <f t="shared" si="5"/>
        <v>95.15</v>
      </c>
      <c r="AA18" s="194">
        <f t="shared" si="6"/>
        <v>109.125</v>
      </c>
      <c r="AB18" s="194">
        <f t="shared" si="7"/>
        <v>0</v>
      </c>
      <c r="AC18" s="194">
        <f t="shared" si="8"/>
        <v>0</v>
      </c>
      <c r="AD18" s="192">
        <f t="shared" si="9"/>
        <v>0.69107142857142856</v>
      </c>
      <c r="AE18" s="195">
        <f t="shared" si="10"/>
        <v>0.64569805194805197</v>
      </c>
    </row>
    <row r="19" spans="2:31" ht="42.75" hidden="1" x14ac:dyDescent="0.25">
      <c r="B19" s="181" t="str">
        <f>C19&amp;"-"&amp;COUNTIF($C$7:C19,C19)</f>
        <v>Gas AppliancesLow Rise Rental Apartment-1</v>
      </c>
      <c r="C19" s="182" t="str">
        <f t="shared" si="0"/>
        <v>Gas AppliancesLow Rise Rental Apartment</v>
      </c>
      <c r="D19" s="183" t="str">
        <f t="shared" si="1"/>
        <v>Electric and Induction Ranges &amp; Heat Pump Electric DryersLow Rise Rental Apartment</v>
      </c>
      <c r="E19" s="150" t="s">
        <v>181</v>
      </c>
      <c r="F19" s="150" t="s">
        <v>100</v>
      </c>
      <c r="G19" s="150" t="s">
        <v>195</v>
      </c>
      <c r="H19" s="151" t="s">
        <v>57</v>
      </c>
      <c r="I19" s="189">
        <v>0.01</v>
      </c>
      <c r="J19" s="189">
        <v>0.1</v>
      </c>
      <c r="K19" s="189">
        <v>0.05</v>
      </c>
      <c r="L19" s="189">
        <v>0.2</v>
      </c>
      <c r="M19" s="189">
        <f t="shared" si="2"/>
        <v>0.125</v>
      </c>
      <c r="N19" s="190">
        <f>VLOOKUP(H19,'Existing Building EUI'!$B$7:$E$16,3,FALSE)</f>
        <v>234</v>
      </c>
      <c r="O19" s="190">
        <f>VLOOKUP(H19,'Existing Building EUI'!$B$7:$E$16,4,FALSE)</f>
        <v>107</v>
      </c>
      <c r="P19" s="191">
        <v>1</v>
      </c>
      <c r="Q19" s="189">
        <v>1</v>
      </c>
      <c r="R19" s="192">
        <v>0</v>
      </c>
      <c r="S19" s="192">
        <v>0</v>
      </c>
      <c r="T19" s="189">
        <v>0</v>
      </c>
      <c r="U19" s="189">
        <v>0</v>
      </c>
      <c r="V19" s="197">
        <f t="shared" si="15"/>
        <v>-0.01</v>
      </c>
      <c r="W19" s="197">
        <f t="shared" si="16"/>
        <v>-7.4999999999999997E-2</v>
      </c>
      <c r="X19" s="194">
        <f t="shared" si="3"/>
        <v>0</v>
      </c>
      <c r="Y19" s="194">
        <f t="shared" si="4"/>
        <v>0</v>
      </c>
      <c r="Z19" s="194">
        <f t="shared" si="5"/>
        <v>109.34</v>
      </c>
      <c r="AA19" s="194">
        <f t="shared" si="6"/>
        <v>124.55</v>
      </c>
      <c r="AB19" s="194">
        <f t="shared" si="7"/>
        <v>0</v>
      </c>
      <c r="AC19" s="194">
        <f t="shared" si="8"/>
        <v>0</v>
      </c>
      <c r="AD19" s="192">
        <f t="shared" si="9"/>
        <v>0.67935483870967739</v>
      </c>
      <c r="AE19" s="195">
        <f t="shared" si="10"/>
        <v>0.63475073313782993</v>
      </c>
    </row>
    <row r="20" spans="2:31" ht="42.75" hidden="1" x14ac:dyDescent="0.25">
      <c r="B20" s="181" t="str">
        <f>C20&amp;"-"&amp;COUNTIF($C$7:C20,C20)</f>
        <v>Gas AppliancesSingle Family Home Attached-1</v>
      </c>
      <c r="C20" s="182" t="str">
        <f t="shared" si="0"/>
        <v>Gas AppliancesSingle Family Home Attached</v>
      </c>
      <c r="D20" s="183" t="str">
        <f t="shared" si="1"/>
        <v>Electric and Induction Ranges &amp; Heat Pump Electric DryersSingle Family Home Attached</v>
      </c>
      <c r="E20" s="150" t="s">
        <v>181</v>
      </c>
      <c r="F20" s="150" t="s">
        <v>100</v>
      </c>
      <c r="G20" s="150" t="s">
        <v>195</v>
      </c>
      <c r="H20" s="151" t="s">
        <v>58</v>
      </c>
      <c r="I20" s="189">
        <v>0.01</v>
      </c>
      <c r="J20" s="189">
        <v>0.1</v>
      </c>
      <c r="K20" s="189">
        <v>0.05</v>
      </c>
      <c r="L20" s="189">
        <v>0.2</v>
      </c>
      <c r="M20" s="189">
        <f t="shared" si="2"/>
        <v>0.125</v>
      </c>
      <c r="N20" s="190">
        <f>VLOOKUP(H20,'Existing Building EUI'!$B$7:$E$16,3,FALSE)</f>
        <v>147</v>
      </c>
      <c r="O20" s="190">
        <f>VLOOKUP(H20,'Existing Building EUI'!$B$7:$E$16,4,FALSE)</f>
        <v>43</v>
      </c>
      <c r="P20" s="191">
        <v>1</v>
      </c>
      <c r="Q20" s="189">
        <v>1</v>
      </c>
      <c r="R20" s="192">
        <v>0</v>
      </c>
      <c r="S20" s="192">
        <v>0</v>
      </c>
      <c r="T20" s="189">
        <v>0</v>
      </c>
      <c r="U20" s="189">
        <v>0</v>
      </c>
      <c r="V20" s="197">
        <f t="shared" si="15"/>
        <v>-0.01</v>
      </c>
      <c r="W20" s="197">
        <f t="shared" si="16"/>
        <v>-7.4999999999999997E-2</v>
      </c>
      <c r="X20" s="194">
        <f t="shared" si="3"/>
        <v>0</v>
      </c>
      <c r="Y20" s="194">
        <f t="shared" si="4"/>
        <v>0</v>
      </c>
      <c r="Z20" s="194">
        <f t="shared" si="5"/>
        <v>44.47</v>
      </c>
      <c r="AA20" s="194">
        <f t="shared" si="6"/>
        <v>54.024999999999999</v>
      </c>
      <c r="AB20" s="194">
        <f t="shared" si="7"/>
        <v>0</v>
      </c>
      <c r="AC20" s="194">
        <f t="shared" si="8"/>
        <v>0</v>
      </c>
      <c r="AD20" s="192">
        <f t="shared" si="9"/>
        <v>0.7659473684210526</v>
      </c>
      <c r="AE20" s="195">
        <f t="shared" si="10"/>
        <v>0.71565789473684205</v>
      </c>
    </row>
    <row r="21" spans="2:31" ht="42.75" hidden="1" x14ac:dyDescent="0.25">
      <c r="B21" s="181" t="str">
        <f>C21&amp;"-"&amp;COUNTIF($C$7:C21,C21)</f>
        <v>Gas AppliancesSingle Family Home Detached-1</v>
      </c>
      <c r="C21" s="182" t="str">
        <f t="shared" si="0"/>
        <v>Gas AppliancesSingle Family Home Detached</v>
      </c>
      <c r="D21" s="183" t="str">
        <f t="shared" si="1"/>
        <v>Electric and Induction Ranges &amp; Heat Pump Electric DryersSingle Family Home Detached</v>
      </c>
      <c r="E21" s="150" t="s">
        <v>181</v>
      </c>
      <c r="F21" s="150" t="s">
        <v>100</v>
      </c>
      <c r="G21" s="150" t="s">
        <v>195</v>
      </c>
      <c r="H21" s="151" t="s">
        <v>60</v>
      </c>
      <c r="I21" s="189">
        <v>0.01</v>
      </c>
      <c r="J21" s="189">
        <v>0.1</v>
      </c>
      <c r="K21" s="189">
        <v>0.05</v>
      </c>
      <c r="L21" s="189">
        <v>0.2</v>
      </c>
      <c r="M21" s="189">
        <f t="shared" si="2"/>
        <v>0.125</v>
      </c>
      <c r="N21" s="190">
        <f>VLOOKUP(H21,'Existing Building EUI'!$B$7:$E$16,3,FALSE)</f>
        <v>203</v>
      </c>
      <c r="O21" s="190">
        <f>VLOOKUP(H21,'Existing Building EUI'!$B$7:$E$16,4,FALSE)</f>
        <v>38</v>
      </c>
      <c r="P21" s="191">
        <v>1</v>
      </c>
      <c r="Q21" s="189">
        <v>1</v>
      </c>
      <c r="R21" s="192">
        <v>0</v>
      </c>
      <c r="S21" s="192">
        <v>0</v>
      </c>
      <c r="T21" s="189">
        <v>0</v>
      </c>
      <c r="U21" s="189">
        <v>0</v>
      </c>
      <c r="V21" s="197">
        <f t="shared" si="15"/>
        <v>-0.01</v>
      </c>
      <c r="W21" s="197">
        <f t="shared" si="16"/>
        <v>-7.4999999999999997E-2</v>
      </c>
      <c r="X21" s="194">
        <f t="shared" si="3"/>
        <v>0</v>
      </c>
      <c r="Y21" s="194">
        <f t="shared" si="4"/>
        <v>0</v>
      </c>
      <c r="Z21" s="194">
        <f t="shared" si="5"/>
        <v>40.03</v>
      </c>
      <c r="AA21" s="194">
        <f t="shared" si="6"/>
        <v>53.225000000000001</v>
      </c>
      <c r="AB21" s="194">
        <f t="shared" si="7"/>
        <v>0</v>
      </c>
      <c r="AC21" s="194">
        <f t="shared" si="8"/>
        <v>0</v>
      </c>
      <c r="AD21" s="192">
        <f t="shared" si="9"/>
        <v>0.83390041493775935</v>
      </c>
      <c r="AE21" s="195">
        <f t="shared" si="10"/>
        <v>0.779149377593361</v>
      </c>
    </row>
    <row r="22" spans="2:31" ht="28.5" x14ac:dyDescent="0.25">
      <c r="B22" s="181" t="str">
        <f>C22&amp;"-"&amp;COUNTIF($C$7:C22,C22)</f>
        <v>Heating SystemMid Rise Office-1</v>
      </c>
      <c r="C22" s="182" t="str">
        <f t="shared" si="0"/>
        <v>Heating SystemMid Rise Office</v>
      </c>
      <c r="D22" s="183" t="str">
        <f t="shared" si="1"/>
        <v>Low Carbon District Energy SystemMid Rise Office</v>
      </c>
      <c r="E22" s="150" t="s">
        <v>188</v>
      </c>
      <c r="F22" s="150" t="s">
        <v>89</v>
      </c>
      <c r="G22" s="198" t="s">
        <v>300</v>
      </c>
      <c r="H22" s="151" t="s">
        <v>45</v>
      </c>
      <c r="I22" s="189">
        <v>0.2</v>
      </c>
      <c r="J22" s="189">
        <v>0.3</v>
      </c>
      <c r="K22" s="189">
        <v>0.3</v>
      </c>
      <c r="L22" s="189">
        <v>0.75</v>
      </c>
      <c r="M22" s="189">
        <f t="shared" si="2"/>
        <v>0.52500000000000002</v>
      </c>
      <c r="N22" s="190">
        <f>VLOOKUP(H22,'Existing Building EUI'!$B$7:$E$16,3,FALSE)</f>
        <v>270</v>
      </c>
      <c r="O22" s="190">
        <f>VLOOKUP(H22,'Existing Building EUI'!$B$7:$E$16,4,FALSE)</f>
        <v>219</v>
      </c>
      <c r="P22" s="191">
        <v>0</v>
      </c>
      <c r="Q22" s="189">
        <v>0</v>
      </c>
      <c r="R22" s="192">
        <v>0</v>
      </c>
      <c r="S22" s="192">
        <v>0</v>
      </c>
      <c r="T22" s="189">
        <v>0</v>
      </c>
      <c r="U22" s="189">
        <v>0</v>
      </c>
      <c r="V22" s="189">
        <v>0</v>
      </c>
      <c r="W22" s="189">
        <v>0</v>
      </c>
      <c r="X22" s="194">
        <f t="shared" si="3"/>
        <v>270</v>
      </c>
      <c r="Y22" s="194">
        <f t="shared" si="4"/>
        <v>270</v>
      </c>
      <c r="Z22" s="194">
        <f t="shared" si="5"/>
        <v>219</v>
      </c>
      <c r="AA22" s="194">
        <f t="shared" si="6"/>
        <v>219</v>
      </c>
      <c r="AB22" s="194">
        <f t="shared" si="7"/>
        <v>0</v>
      </c>
      <c r="AC22" s="194">
        <f>(U22*N22)*-1</f>
        <v>0</v>
      </c>
      <c r="AD22" s="192">
        <f t="shared" si="9"/>
        <v>0</v>
      </c>
      <c r="AE22" s="195">
        <f t="shared" si="10"/>
        <v>0</v>
      </c>
    </row>
    <row r="23" spans="2:31" ht="28.5" hidden="1" x14ac:dyDescent="0.25">
      <c r="B23" s="181" t="str">
        <f>C23&amp;"-"&amp;COUNTIF($C$7:C23,C23)</f>
        <v>Heating SystemMid Rise Office-2</v>
      </c>
      <c r="C23" s="182" t="str">
        <f t="shared" si="0"/>
        <v>Heating SystemMid Rise Office</v>
      </c>
      <c r="D23" s="183" t="str">
        <f t="shared" si="1"/>
        <v>Air Source Heat PumpsMid Rise Office</v>
      </c>
      <c r="E23" s="150" t="s">
        <v>189</v>
      </c>
      <c r="F23" s="150" t="s">
        <v>89</v>
      </c>
      <c r="G23" s="150" t="s">
        <v>192</v>
      </c>
      <c r="H23" s="151" t="s">
        <v>45</v>
      </c>
      <c r="I23" s="189">
        <v>0.2</v>
      </c>
      <c r="J23" s="189">
        <v>0.3</v>
      </c>
      <c r="K23" s="189">
        <v>0.3</v>
      </c>
      <c r="L23" s="189">
        <v>0.75</v>
      </c>
      <c r="M23" s="189">
        <f t="shared" si="2"/>
        <v>0.52500000000000002</v>
      </c>
      <c r="N23" s="190">
        <f>VLOOKUP(H23,'Existing Building EUI'!$B$7:$E$16,3,FALSE)</f>
        <v>270</v>
      </c>
      <c r="O23" s="190">
        <f>VLOOKUP(H23,'Existing Building EUI'!$B$7:$E$16,4,FALSE)</f>
        <v>219</v>
      </c>
      <c r="P23" s="191">
        <v>0</v>
      </c>
      <c r="Q23" s="189">
        <v>0</v>
      </c>
      <c r="R23" s="192">
        <v>0</v>
      </c>
      <c r="S23" s="192">
        <v>0</v>
      </c>
      <c r="T23" s="189">
        <v>0.85</v>
      </c>
      <c r="U23" s="189">
        <v>0.95</v>
      </c>
      <c r="V23" s="189">
        <f>T23/-2</f>
        <v>-0.42499999999999999</v>
      </c>
      <c r="W23" s="189">
        <f>U23/-2</f>
        <v>-0.47499999999999998</v>
      </c>
      <c r="X23" s="194">
        <f t="shared" si="3"/>
        <v>270</v>
      </c>
      <c r="Y23" s="194">
        <f t="shared" si="4"/>
        <v>270</v>
      </c>
      <c r="Z23" s="194">
        <f t="shared" si="5"/>
        <v>333.75</v>
      </c>
      <c r="AA23" s="194">
        <f t="shared" si="6"/>
        <v>347.25</v>
      </c>
      <c r="AB23" s="194">
        <f t="shared" si="7"/>
        <v>-229.5</v>
      </c>
      <c r="AC23" s="194">
        <f>U23*N23</f>
        <v>256.5</v>
      </c>
      <c r="AD23" s="192">
        <f t="shared" si="9"/>
        <v>0.23466257668711657</v>
      </c>
      <c r="AE23" s="195">
        <f t="shared" si="10"/>
        <v>-0.78680981595092025</v>
      </c>
    </row>
    <row r="24" spans="2:31" ht="28.5" hidden="1" x14ac:dyDescent="0.25">
      <c r="B24" s="181" t="str">
        <f>C24&amp;"-"&amp;COUNTIF($C$7:C24,C24)</f>
        <v>Heating SystemMid Rise Office-3</v>
      </c>
      <c r="C24" s="182" t="str">
        <f t="shared" si="0"/>
        <v>Heating SystemMid Rise Office</v>
      </c>
      <c r="D24" s="183" t="str">
        <f t="shared" si="1"/>
        <v>Ground Source Heat PumpsMid Rise Office</v>
      </c>
      <c r="E24" s="150" t="s">
        <v>190</v>
      </c>
      <c r="F24" s="150" t="s">
        <v>89</v>
      </c>
      <c r="G24" s="150" t="s">
        <v>130</v>
      </c>
      <c r="H24" s="151" t="s">
        <v>45</v>
      </c>
      <c r="I24" s="189">
        <v>0.2</v>
      </c>
      <c r="J24" s="189">
        <v>0.3</v>
      </c>
      <c r="K24" s="189">
        <v>0.3</v>
      </c>
      <c r="L24" s="189">
        <v>0.75</v>
      </c>
      <c r="M24" s="189">
        <f t="shared" si="2"/>
        <v>0.52500000000000002</v>
      </c>
      <c r="N24" s="190">
        <f>VLOOKUP(H24,'Existing Building EUI'!$B$7:$E$16,3,FALSE)</f>
        <v>270</v>
      </c>
      <c r="O24" s="190">
        <f>VLOOKUP(H24,'Existing Building EUI'!$B$7:$E$16,4,FALSE)</f>
        <v>219</v>
      </c>
      <c r="P24" s="191">
        <v>0</v>
      </c>
      <c r="Q24" s="189">
        <v>0</v>
      </c>
      <c r="R24" s="192">
        <v>0</v>
      </c>
      <c r="S24" s="192">
        <v>0</v>
      </c>
      <c r="T24" s="189">
        <v>0.85</v>
      </c>
      <c r="U24" s="189">
        <v>0.95</v>
      </c>
      <c r="V24" s="189">
        <f>T24/-3</f>
        <v>-0.28333333333333333</v>
      </c>
      <c r="W24" s="189">
        <f>U24/-3</f>
        <v>-0.31666666666666665</v>
      </c>
      <c r="X24" s="194">
        <f t="shared" si="3"/>
        <v>270</v>
      </c>
      <c r="Y24" s="194">
        <f t="shared" si="4"/>
        <v>270</v>
      </c>
      <c r="Z24" s="194">
        <f t="shared" si="5"/>
        <v>295.5</v>
      </c>
      <c r="AA24" s="194">
        <f t="shared" si="6"/>
        <v>304.5</v>
      </c>
      <c r="AB24" s="194">
        <f t="shared" si="7"/>
        <v>-229.5</v>
      </c>
      <c r="AC24" s="194">
        <f>U24*N24</f>
        <v>256.5</v>
      </c>
      <c r="AD24" s="192">
        <f t="shared" si="9"/>
        <v>0.31288343558282211</v>
      </c>
      <c r="AE24" s="195">
        <f t="shared" si="10"/>
        <v>-0.69938650306748462</v>
      </c>
    </row>
    <row r="25" spans="2:31" ht="28.5" x14ac:dyDescent="0.25">
      <c r="B25" s="181" t="str">
        <f>C25&amp;"-"&amp;COUNTIF($C$7:C25,C25)</f>
        <v>Heating SystemEducational Facility-1</v>
      </c>
      <c r="C25" s="182" t="str">
        <f t="shared" si="0"/>
        <v>Heating SystemEducational Facility</v>
      </c>
      <c r="D25" s="183" t="str">
        <f t="shared" si="1"/>
        <v>Low Carbon District Energy SystemEducational Facility</v>
      </c>
      <c r="E25" s="150" t="s">
        <v>188</v>
      </c>
      <c r="F25" s="150" t="s">
        <v>89</v>
      </c>
      <c r="G25" s="198" t="s">
        <v>300</v>
      </c>
      <c r="H25" s="151" t="s">
        <v>144</v>
      </c>
      <c r="I25" s="189">
        <v>0.21</v>
      </c>
      <c r="J25" s="189">
        <v>0.3</v>
      </c>
      <c r="K25" s="189">
        <v>0.3</v>
      </c>
      <c r="L25" s="189">
        <v>0.75</v>
      </c>
      <c r="M25" s="189">
        <f t="shared" si="2"/>
        <v>0.52500000000000002</v>
      </c>
      <c r="N25" s="190">
        <f>VLOOKUP(H25,'Existing Building EUI'!$B$7:$E$16,3,FALSE)</f>
        <v>201</v>
      </c>
      <c r="O25" s="190">
        <f>VLOOKUP(H25,'Existing Building EUI'!$B$7:$E$16,4,FALSE)</f>
        <v>284</v>
      </c>
      <c r="P25" s="191">
        <v>0</v>
      </c>
      <c r="Q25" s="189">
        <v>0</v>
      </c>
      <c r="R25" s="192">
        <v>0</v>
      </c>
      <c r="S25" s="192">
        <v>0</v>
      </c>
      <c r="T25" s="189">
        <v>0</v>
      </c>
      <c r="U25" s="189">
        <v>0</v>
      </c>
      <c r="V25" s="189">
        <v>0</v>
      </c>
      <c r="W25" s="189">
        <v>0</v>
      </c>
      <c r="X25" s="194">
        <f t="shared" si="3"/>
        <v>201</v>
      </c>
      <c r="Y25" s="194">
        <f t="shared" si="4"/>
        <v>201</v>
      </c>
      <c r="Z25" s="194">
        <f t="shared" si="5"/>
        <v>284</v>
      </c>
      <c r="AA25" s="194">
        <f t="shared" si="6"/>
        <v>284</v>
      </c>
      <c r="AB25" s="194">
        <f t="shared" si="7"/>
        <v>0</v>
      </c>
      <c r="AC25" s="194">
        <f>(U25*N25)*-1</f>
        <v>0</v>
      </c>
      <c r="AD25" s="192">
        <f t="shared" si="9"/>
        <v>0</v>
      </c>
      <c r="AE25" s="195">
        <f t="shared" si="10"/>
        <v>0</v>
      </c>
    </row>
    <row r="26" spans="2:31" ht="28.5" hidden="1" x14ac:dyDescent="0.25">
      <c r="B26" s="181" t="str">
        <f>C26&amp;"-"&amp;COUNTIF($C$7:C26,C26)</f>
        <v>Heating SystemEducational Facility-2</v>
      </c>
      <c r="C26" s="182" t="str">
        <f t="shared" si="0"/>
        <v>Heating SystemEducational Facility</v>
      </c>
      <c r="D26" s="183" t="str">
        <f t="shared" si="1"/>
        <v>Air Source Heat PumpsEducational Facility</v>
      </c>
      <c r="E26" s="150" t="s">
        <v>189</v>
      </c>
      <c r="F26" s="150" t="s">
        <v>89</v>
      </c>
      <c r="G26" s="150" t="s">
        <v>192</v>
      </c>
      <c r="H26" s="151" t="s">
        <v>144</v>
      </c>
      <c r="I26" s="189">
        <v>0.21</v>
      </c>
      <c r="J26" s="189">
        <v>0.3</v>
      </c>
      <c r="K26" s="189">
        <v>0.3</v>
      </c>
      <c r="L26" s="189">
        <v>0.75</v>
      </c>
      <c r="M26" s="189">
        <f t="shared" si="2"/>
        <v>0.52500000000000002</v>
      </c>
      <c r="N26" s="190">
        <f>VLOOKUP(H26,'Existing Building EUI'!$B$7:$E$16,3,FALSE)</f>
        <v>201</v>
      </c>
      <c r="O26" s="190">
        <f>VLOOKUP(H26,'Existing Building EUI'!$B$7:$E$16,4,FALSE)</f>
        <v>284</v>
      </c>
      <c r="P26" s="191">
        <v>0</v>
      </c>
      <c r="Q26" s="189">
        <v>0</v>
      </c>
      <c r="R26" s="192">
        <v>0</v>
      </c>
      <c r="S26" s="192">
        <v>0</v>
      </c>
      <c r="T26" s="189">
        <v>0.8</v>
      </c>
      <c r="U26" s="189">
        <v>0.98</v>
      </c>
      <c r="V26" s="189">
        <f>T26/-2</f>
        <v>-0.4</v>
      </c>
      <c r="W26" s="189">
        <f>U26/-2</f>
        <v>-0.49</v>
      </c>
      <c r="X26" s="194">
        <f t="shared" si="3"/>
        <v>201</v>
      </c>
      <c r="Y26" s="194">
        <f t="shared" si="4"/>
        <v>201</v>
      </c>
      <c r="Z26" s="194">
        <f t="shared" si="5"/>
        <v>364.4</v>
      </c>
      <c r="AA26" s="194">
        <f t="shared" si="6"/>
        <v>382.49</v>
      </c>
      <c r="AB26" s="194">
        <f t="shared" si="7"/>
        <v>-160.80000000000001</v>
      </c>
      <c r="AC26" s="194">
        <f>U26*N26</f>
        <v>196.98</v>
      </c>
      <c r="AD26" s="192">
        <f t="shared" si="9"/>
        <v>0.16577319587628872</v>
      </c>
      <c r="AE26" s="195">
        <f t="shared" si="10"/>
        <v>-0.60921649484536089</v>
      </c>
    </row>
    <row r="27" spans="2:31" ht="28.5" hidden="1" x14ac:dyDescent="0.25">
      <c r="B27" s="181" t="str">
        <f>C27&amp;"-"&amp;COUNTIF($C$7:C27,C27)</f>
        <v>Heating SystemEducational Facility-3</v>
      </c>
      <c r="C27" s="182" t="str">
        <f t="shared" si="0"/>
        <v>Heating SystemEducational Facility</v>
      </c>
      <c r="D27" s="183" t="str">
        <f t="shared" si="1"/>
        <v>Ground Source Heat PumpsEducational Facility</v>
      </c>
      <c r="E27" s="150" t="s">
        <v>190</v>
      </c>
      <c r="F27" s="150" t="s">
        <v>89</v>
      </c>
      <c r="G27" s="150" t="s">
        <v>130</v>
      </c>
      <c r="H27" s="151" t="s">
        <v>144</v>
      </c>
      <c r="I27" s="189">
        <v>0.21</v>
      </c>
      <c r="J27" s="189">
        <v>0.3</v>
      </c>
      <c r="K27" s="189">
        <v>0.3</v>
      </c>
      <c r="L27" s="189">
        <v>0.75</v>
      </c>
      <c r="M27" s="189">
        <f t="shared" si="2"/>
        <v>0.52500000000000002</v>
      </c>
      <c r="N27" s="190">
        <f>VLOOKUP(H27,'Existing Building EUI'!$B$7:$E$16,3,FALSE)</f>
        <v>201</v>
      </c>
      <c r="O27" s="190">
        <f>VLOOKUP(H27,'Existing Building EUI'!$B$7:$E$16,4,FALSE)</f>
        <v>284</v>
      </c>
      <c r="P27" s="191">
        <v>0</v>
      </c>
      <c r="Q27" s="189">
        <v>0</v>
      </c>
      <c r="R27" s="192">
        <v>0</v>
      </c>
      <c r="S27" s="192">
        <v>0</v>
      </c>
      <c r="T27" s="189">
        <v>0.8</v>
      </c>
      <c r="U27" s="189">
        <v>0.98</v>
      </c>
      <c r="V27" s="189">
        <f>T27/-3</f>
        <v>-0.26666666666666666</v>
      </c>
      <c r="W27" s="189">
        <f>U27/-3</f>
        <v>-0.32666666666666666</v>
      </c>
      <c r="X27" s="194">
        <f t="shared" si="3"/>
        <v>201</v>
      </c>
      <c r="Y27" s="194">
        <f t="shared" si="4"/>
        <v>201</v>
      </c>
      <c r="Z27" s="194">
        <f t="shared" si="5"/>
        <v>337.6</v>
      </c>
      <c r="AA27" s="194">
        <f t="shared" si="6"/>
        <v>349.65999999999997</v>
      </c>
      <c r="AB27" s="194">
        <f t="shared" si="7"/>
        <v>-160.80000000000001</v>
      </c>
      <c r="AC27" s="194">
        <f>U27*N27</f>
        <v>196.98</v>
      </c>
      <c r="AD27" s="192">
        <f t="shared" si="9"/>
        <v>0.22103092783505152</v>
      </c>
      <c r="AE27" s="195">
        <f t="shared" si="10"/>
        <v>-0.54152577319587625</v>
      </c>
    </row>
    <row r="28" spans="2:31" ht="57" hidden="1" x14ac:dyDescent="0.25">
      <c r="B28" s="181" t="str">
        <f>C28&amp;"-"&amp;COUNTIF($C$7:C28,C28)</f>
        <v>Heating SystemBig Box Store-1</v>
      </c>
      <c r="C28" s="182" t="str">
        <f t="shared" si="0"/>
        <v>Heating SystemBig Box Store</v>
      </c>
      <c r="D28" s="183" t="str">
        <f t="shared" si="1"/>
        <v>Air Source Heat PumpsBig Box Store</v>
      </c>
      <c r="E28" s="150" t="s">
        <v>191</v>
      </c>
      <c r="F28" s="150" t="s">
        <v>89</v>
      </c>
      <c r="G28" s="150" t="s">
        <v>192</v>
      </c>
      <c r="H28" s="151" t="s">
        <v>50</v>
      </c>
      <c r="I28" s="189">
        <v>0.11</v>
      </c>
      <c r="J28" s="189">
        <v>0.2</v>
      </c>
      <c r="K28" s="189">
        <v>0.3</v>
      </c>
      <c r="L28" s="189">
        <v>0.55000000000000004</v>
      </c>
      <c r="M28" s="189">
        <f t="shared" si="2"/>
        <v>0.42500000000000004</v>
      </c>
      <c r="N28" s="190">
        <f>VLOOKUP(H28,'Existing Building EUI'!$B$7:$E$16,3,FALSE)</f>
        <v>159</v>
      </c>
      <c r="O28" s="190">
        <f>VLOOKUP(H28,'Existing Building EUI'!$B$7:$E$16,4,FALSE)</f>
        <v>231</v>
      </c>
      <c r="P28" s="191">
        <v>0</v>
      </c>
      <c r="Q28" s="189">
        <v>0</v>
      </c>
      <c r="R28" s="192">
        <v>0</v>
      </c>
      <c r="S28" s="192">
        <v>0</v>
      </c>
      <c r="T28" s="189">
        <v>0.85</v>
      </c>
      <c r="U28" s="189">
        <v>0.9</v>
      </c>
      <c r="V28" s="189">
        <f t="shared" ref="V28:V30" si="17">T28/-2</f>
        <v>-0.42499999999999999</v>
      </c>
      <c r="W28" s="189">
        <f t="shared" ref="W28:W30" si="18">U28/-2</f>
        <v>-0.45</v>
      </c>
      <c r="X28" s="194">
        <f t="shared" si="3"/>
        <v>159</v>
      </c>
      <c r="Y28" s="194">
        <f t="shared" si="4"/>
        <v>159</v>
      </c>
      <c r="Z28" s="194">
        <f t="shared" si="5"/>
        <v>298.57499999999999</v>
      </c>
      <c r="AA28" s="194">
        <f t="shared" si="6"/>
        <v>302.55</v>
      </c>
      <c r="AB28" s="194">
        <f t="shared" si="7"/>
        <v>-135.15</v>
      </c>
      <c r="AC28" s="194">
        <f>U28*N28</f>
        <v>143.1</v>
      </c>
      <c r="AD28" s="192">
        <f t="shared" si="9"/>
        <v>0.1732692307692309</v>
      </c>
      <c r="AE28" s="195">
        <f t="shared" si="10"/>
        <v>-0.55038461538461536</v>
      </c>
    </row>
    <row r="29" spans="2:31" ht="57" hidden="1" x14ac:dyDescent="0.25">
      <c r="B29" s="181" t="str">
        <f>C29&amp;"-"&amp;COUNTIF($C$7:C29,C29)</f>
        <v>Heating SystemLow Rise Office-1</v>
      </c>
      <c r="C29" s="182" t="str">
        <f t="shared" si="0"/>
        <v>Heating SystemLow Rise Office</v>
      </c>
      <c r="D29" s="183" t="str">
        <f t="shared" si="1"/>
        <v>Air Source Heat PumpsLow Rise Office</v>
      </c>
      <c r="E29" s="150" t="s">
        <v>177</v>
      </c>
      <c r="F29" s="150" t="s">
        <v>89</v>
      </c>
      <c r="G29" s="150" t="s">
        <v>192</v>
      </c>
      <c r="H29" s="151" t="s">
        <v>63</v>
      </c>
      <c r="I29" s="189">
        <v>0.21</v>
      </c>
      <c r="J29" s="189">
        <v>0.3</v>
      </c>
      <c r="K29" s="189">
        <v>0.3</v>
      </c>
      <c r="L29" s="189">
        <v>0.75</v>
      </c>
      <c r="M29" s="189">
        <f t="shared" si="2"/>
        <v>0.52500000000000002</v>
      </c>
      <c r="N29" s="190">
        <f>VLOOKUP(H29,'Existing Building EUI'!$B$7:$E$16,3,FALSE)</f>
        <v>149</v>
      </c>
      <c r="O29" s="190">
        <f>VLOOKUP(H29,'Existing Building EUI'!$B$7:$E$16,4,FALSE)</f>
        <v>204</v>
      </c>
      <c r="P29" s="191">
        <v>0</v>
      </c>
      <c r="Q29" s="189">
        <v>0</v>
      </c>
      <c r="R29" s="192">
        <v>0</v>
      </c>
      <c r="S29" s="192">
        <v>0</v>
      </c>
      <c r="T29" s="189">
        <v>0.85</v>
      </c>
      <c r="U29" s="189">
        <v>0.97</v>
      </c>
      <c r="V29" s="189">
        <f t="shared" si="17"/>
        <v>-0.42499999999999999</v>
      </c>
      <c r="W29" s="189">
        <f t="shared" si="18"/>
        <v>-0.48499999999999999</v>
      </c>
      <c r="X29" s="194">
        <f t="shared" si="3"/>
        <v>149</v>
      </c>
      <c r="Y29" s="194">
        <f t="shared" si="4"/>
        <v>149</v>
      </c>
      <c r="Z29" s="194">
        <f t="shared" si="5"/>
        <v>267.32499999999999</v>
      </c>
      <c r="AA29" s="194">
        <f t="shared" si="6"/>
        <v>276.26499999999999</v>
      </c>
      <c r="AB29" s="194">
        <f t="shared" si="7"/>
        <v>-126.64999999999999</v>
      </c>
      <c r="AC29" s="194">
        <f>U29*N29</f>
        <v>144.53</v>
      </c>
      <c r="AD29" s="192">
        <f t="shared" si="9"/>
        <v>0.17939093484419261</v>
      </c>
      <c r="AE29" s="195">
        <f t="shared" si="10"/>
        <v>-0.61415014164305937</v>
      </c>
    </row>
    <row r="30" spans="2:31" ht="57" hidden="1" x14ac:dyDescent="0.25">
      <c r="B30" s="181" t="str">
        <f>C30&amp;"-"&amp;COUNTIF($C$7:C30,C30)</f>
        <v>Heating SystemStrip Mall-1</v>
      </c>
      <c r="C30" s="182" t="str">
        <f t="shared" si="0"/>
        <v>Heating SystemStrip Mall</v>
      </c>
      <c r="D30" s="183" t="str">
        <f t="shared" si="1"/>
        <v>Air Source Heat PumpsStrip Mall</v>
      </c>
      <c r="E30" s="150" t="s">
        <v>191</v>
      </c>
      <c r="F30" s="150" t="s">
        <v>89</v>
      </c>
      <c r="G30" s="150" t="s">
        <v>192</v>
      </c>
      <c r="H30" s="151" t="s">
        <v>51</v>
      </c>
      <c r="I30" s="189">
        <v>0.12</v>
      </c>
      <c r="J30" s="189">
        <v>0.25</v>
      </c>
      <c r="K30" s="189">
        <v>0.2</v>
      </c>
      <c r="L30" s="189">
        <v>0.55000000000000004</v>
      </c>
      <c r="M30" s="189">
        <f t="shared" si="2"/>
        <v>0.375</v>
      </c>
      <c r="N30" s="190">
        <f>VLOOKUP(H30,'Existing Building EUI'!$B$7:$E$16,3,FALSE)</f>
        <v>127</v>
      </c>
      <c r="O30" s="190">
        <f>VLOOKUP(H30,'Existing Building EUI'!$B$7:$E$16,4,FALSE)</f>
        <v>248</v>
      </c>
      <c r="P30" s="191">
        <v>0</v>
      </c>
      <c r="Q30" s="189">
        <v>0</v>
      </c>
      <c r="R30" s="192">
        <v>0</v>
      </c>
      <c r="S30" s="192">
        <v>0</v>
      </c>
      <c r="T30" s="189">
        <v>0.8</v>
      </c>
      <c r="U30" s="189">
        <v>0.97</v>
      </c>
      <c r="V30" s="189">
        <f t="shared" si="17"/>
        <v>-0.4</v>
      </c>
      <c r="W30" s="189">
        <f t="shared" si="18"/>
        <v>-0.48499999999999999</v>
      </c>
      <c r="X30" s="194">
        <f t="shared" si="3"/>
        <v>127</v>
      </c>
      <c r="Y30" s="194">
        <f t="shared" si="4"/>
        <v>127</v>
      </c>
      <c r="Z30" s="194">
        <f t="shared" si="5"/>
        <v>298.8</v>
      </c>
      <c r="AA30" s="194">
        <f t="shared" si="6"/>
        <v>309.59500000000003</v>
      </c>
      <c r="AB30" s="194">
        <f t="shared" si="7"/>
        <v>-101.60000000000001</v>
      </c>
      <c r="AC30" s="194">
        <f>U30*N30</f>
        <v>123.19</v>
      </c>
      <c r="AD30" s="192">
        <f t="shared" si="9"/>
        <v>0.13546666666666671</v>
      </c>
      <c r="AE30" s="195">
        <f t="shared" si="10"/>
        <v>-0.4927600000000002</v>
      </c>
    </row>
    <row r="31" spans="2:31" ht="28.5" x14ac:dyDescent="0.25">
      <c r="B31" s="181" t="str">
        <f>C31&amp;"-"&amp;COUNTIF($C$7:C31,C31)</f>
        <v>Heating SystemMixed Use-1</v>
      </c>
      <c r="C31" s="182" t="str">
        <f t="shared" si="0"/>
        <v>Heating SystemMixed Use</v>
      </c>
      <c r="D31" s="183" t="str">
        <f t="shared" si="1"/>
        <v>Low Carbon District Energy SystemMixed Use</v>
      </c>
      <c r="E31" s="150" t="s">
        <v>188</v>
      </c>
      <c r="F31" s="150" t="s">
        <v>89</v>
      </c>
      <c r="G31" s="198" t="s">
        <v>300</v>
      </c>
      <c r="H31" s="151" t="s">
        <v>1</v>
      </c>
      <c r="I31" s="189">
        <v>0.21</v>
      </c>
      <c r="J31" s="189">
        <v>0.3</v>
      </c>
      <c r="K31" s="189">
        <v>0.2</v>
      </c>
      <c r="L31" s="189">
        <v>0.4</v>
      </c>
      <c r="M31" s="189">
        <f t="shared" si="2"/>
        <v>0.30000000000000004</v>
      </c>
      <c r="N31" s="190">
        <f>VLOOKUP(H31,'Existing Building EUI'!$B$7:$E$16,3,FALSE)</f>
        <v>268</v>
      </c>
      <c r="O31" s="190">
        <f>VLOOKUP(H31,'Existing Building EUI'!$B$7:$E$16,4,FALSE)</f>
        <v>322</v>
      </c>
      <c r="P31" s="191">
        <v>0</v>
      </c>
      <c r="Q31" s="189">
        <v>0</v>
      </c>
      <c r="R31" s="192">
        <v>0</v>
      </c>
      <c r="S31" s="192">
        <v>0</v>
      </c>
      <c r="T31" s="189">
        <v>0</v>
      </c>
      <c r="U31" s="189">
        <v>0</v>
      </c>
      <c r="V31" s="189">
        <v>0</v>
      </c>
      <c r="W31" s="189">
        <v>0</v>
      </c>
      <c r="X31" s="194">
        <f t="shared" si="3"/>
        <v>268</v>
      </c>
      <c r="Y31" s="194">
        <f t="shared" si="4"/>
        <v>268</v>
      </c>
      <c r="Z31" s="194">
        <f t="shared" si="5"/>
        <v>322</v>
      </c>
      <c r="AA31" s="194">
        <f t="shared" si="6"/>
        <v>322</v>
      </c>
      <c r="AB31" s="194">
        <f t="shared" si="7"/>
        <v>0</v>
      </c>
      <c r="AC31" s="194">
        <f>(U31*N31)*-1</f>
        <v>0</v>
      </c>
      <c r="AD31" s="192">
        <f t="shared" si="9"/>
        <v>0</v>
      </c>
      <c r="AE31" s="195">
        <f t="shared" si="10"/>
        <v>0</v>
      </c>
    </row>
    <row r="32" spans="2:31" ht="28.5" hidden="1" x14ac:dyDescent="0.25">
      <c r="B32" s="181" t="str">
        <f>C32&amp;"-"&amp;COUNTIF($C$7:C32,C32)</f>
        <v>Heating SystemMixed Use-2</v>
      </c>
      <c r="C32" s="182" t="str">
        <f t="shared" si="0"/>
        <v>Heating SystemMixed Use</v>
      </c>
      <c r="D32" s="183" t="str">
        <f t="shared" si="1"/>
        <v>Air Source Heat PumpsMixed Use</v>
      </c>
      <c r="E32" s="150" t="s">
        <v>189</v>
      </c>
      <c r="F32" s="150" t="s">
        <v>89</v>
      </c>
      <c r="G32" s="150" t="s">
        <v>192</v>
      </c>
      <c r="H32" s="151" t="s">
        <v>1</v>
      </c>
      <c r="I32" s="189">
        <v>0.21</v>
      </c>
      <c r="J32" s="189">
        <v>0.3</v>
      </c>
      <c r="K32" s="189">
        <v>0.2</v>
      </c>
      <c r="L32" s="189">
        <v>0.4</v>
      </c>
      <c r="M32" s="189">
        <f t="shared" si="2"/>
        <v>0.30000000000000004</v>
      </c>
      <c r="N32" s="190">
        <f>VLOOKUP(H32,'Existing Building EUI'!$B$7:$E$16,3,FALSE)</f>
        <v>268</v>
      </c>
      <c r="O32" s="190">
        <f>VLOOKUP(H32,'Existing Building EUI'!$B$7:$E$16,4,FALSE)</f>
        <v>322</v>
      </c>
      <c r="P32" s="191">
        <v>0</v>
      </c>
      <c r="Q32" s="189">
        <v>0</v>
      </c>
      <c r="R32" s="192">
        <v>0</v>
      </c>
      <c r="S32" s="192">
        <v>0</v>
      </c>
      <c r="T32" s="189">
        <v>0.7</v>
      </c>
      <c r="U32" s="189">
        <v>0.8</v>
      </c>
      <c r="V32" s="189">
        <f>T32/-2</f>
        <v>-0.35</v>
      </c>
      <c r="W32" s="189">
        <f>U32/-2</f>
        <v>-0.4</v>
      </c>
      <c r="X32" s="194">
        <f t="shared" si="3"/>
        <v>268</v>
      </c>
      <c r="Y32" s="194">
        <f t="shared" si="4"/>
        <v>268</v>
      </c>
      <c r="Z32" s="194">
        <f t="shared" si="5"/>
        <v>415.8</v>
      </c>
      <c r="AA32" s="194">
        <f t="shared" si="6"/>
        <v>429.2</v>
      </c>
      <c r="AB32" s="194">
        <f t="shared" si="7"/>
        <v>-187.6</v>
      </c>
      <c r="AC32" s="194">
        <f>U32*N32</f>
        <v>214.4</v>
      </c>
      <c r="AD32" s="192">
        <f t="shared" si="9"/>
        <v>0.15898305084745773</v>
      </c>
      <c r="AE32" s="195">
        <f t="shared" si="10"/>
        <v>-0.54508474576271193</v>
      </c>
    </row>
    <row r="33" spans="2:31" ht="28.5" hidden="1" x14ac:dyDescent="0.25">
      <c r="B33" s="181" t="str">
        <f>C33&amp;"-"&amp;COUNTIF($C$7:C33,C33)</f>
        <v>Heating SystemMixed Use-3</v>
      </c>
      <c r="C33" s="182" t="str">
        <f t="shared" si="0"/>
        <v>Heating SystemMixed Use</v>
      </c>
      <c r="D33" s="183" t="str">
        <f t="shared" si="1"/>
        <v>Ground Source Heat PumpsMixed Use</v>
      </c>
      <c r="E33" s="150" t="s">
        <v>190</v>
      </c>
      <c r="F33" s="150" t="s">
        <v>89</v>
      </c>
      <c r="G33" s="150" t="s">
        <v>130</v>
      </c>
      <c r="H33" s="151" t="s">
        <v>1</v>
      </c>
      <c r="I33" s="189">
        <v>0.21</v>
      </c>
      <c r="J33" s="189">
        <v>0.3</v>
      </c>
      <c r="K33" s="189">
        <v>0.2</v>
      </c>
      <c r="L33" s="189">
        <v>0.4</v>
      </c>
      <c r="M33" s="189">
        <f t="shared" si="2"/>
        <v>0.30000000000000004</v>
      </c>
      <c r="N33" s="190">
        <f>VLOOKUP(H33,'Existing Building EUI'!$B$7:$E$16,3,FALSE)</f>
        <v>268</v>
      </c>
      <c r="O33" s="190">
        <f>VLOOKUP(H33,'Existing Building EUI'!$B$7:$E$16,4,FALSE)</f>
        <v>322</v>
      </c>
      <c r="P33" s="191">
        <v>0</v>
      </c>
      <c r="Q33" s="189">
        <v>0</v>
      </c>
      <c r="R33" s="192">
        <v>0</v>
      </c>
      <c r="S33" s="192">
        <v>0</v>
      </c>
      <c r="T33" s="189">
        <v>0.7</v>
      </c>
      <c r="U33" s="189">
        <v>0.8</v>
      </c>
      <c r="V33" s="189">
        <f>T33/-3</f>
        <v>-0.23333333333333331</v>
      </c>
      <c r="W33" s="189">
        <f>U33/-3</f>
        <v>-0.26666666666666666</v>
      </c>
      <c r="X33" s="194">
        <f t="shared" si="3"/>
        <v>268</v>
      </c>
      <c r="Y33" s="194">
        <f t="shared" si="4"/>
        <v>268</v>
      </c>
      <c r="Z33" s="194">
        <f t="shared" si="5"/>
        <v>384.5333333333333</v>
      </c>
      <c r="AA33" s="194">
        <f t="shared" si="6"/>
        <v>393.4666666666667</v>
      </c>
      <c r="AB33" s="194">
        <f t="shared" si="7"/>
        <v>-187.6</v>
      </c>
      <c r="AC33" s="194">
        <f>U33*N33</f>
        <v>214.4</v>
      </c>
      <c r="AD33" s="192">
        <f t="shared" si="9"/>
        <v>0.21197740112994359</v>
      </c>
      <c r="AE33" s="195">
        <f t="shared" si="10"/>
        <v>-0.48451977401129948</v>
      </c>
    </row>
    <row r="34" spans="2:31" ht="28.5" x14ac:dyDescent="0.25">
      <c r="B34" s="181" t="str">
        <f>C34&amp;"-"&amp;COUNTIF($C$7:C34,C34)</f>
        <v>Heating SystemCondominium-1</v>
      </c>
      <c r="C34" s="182" t="str">
        <f t="shared" si="0"/>
        <v>Heating SystemCondominium</v>
      </c>
      <c r="D34" s="183" t="str">
        <f t="shared" si="1"/>
        <v>Low Carbon District Energy SystemCondominium</v>
      </c>
      <c r="E34" s="150" t="s">
        <v>188</v>
      </c>
      <c r="F34" s="150" t="s">
        <v>89</v>
      </c>
      <c r="G34" s="198" t="s">
        <v>300</v>
      </c>
      <c r="H34" s="151" t="s">
        <v>54</v>
      </c>
      <c r="I34" s="189">
        <v>0.11</v>
      </c>
      <c r="J34" s="189">
        <v>0.2</v>
      </c>
      <c r="K34" s="189">
        <v>0.21</v>
      </c>
      <c r="L34" s="189">
        <v>0.3</v>
      </c>
      <c r="M34" s="189">
        <f t="shared" si="2"/>
        <v>0.255</v>
      </c>
      <c r="N34" s="190">
        <f>VLOOKUP(H34,'Existing Building EUI'!$B$7:$E$16,3,FALSE)</f>
        <v>215</v>
      </c>
      <c r="O34" s="190">
        <f>VLOOKUP(H34,'Existing Building EUI'!$B$7:$E$16,4,FALSE)</f>
        <v>93</v>
      </c>
      <c r="P34" s="191">
        <v>0</v>
      </c>
      <c r="Q34" s="189">
        <v>0</v>
      </c>
      <c r="R34" s="192">
        <v>0</v>
      </c>
      <c r="S34" s="192">
        <v>0</v>
      </c>
      <c r="T34" s="189">
        <v>0</v>
      </c>
      <c r="U34" s="189">
        <v>0</v>
      </c>
      <c r="V34" s="189">
        <v>0</v>
      </c>
      <c r="W34" s="189">
        <v>0</v>
      </c>
      <c r="X34" s="194">
        <f t="shared" si="3"/>
        <v>215</v>
      </c>
      <c r="Y34" s="194">
        <f t="shared" si="4"/>
        <v>215</v>
      </c>
      <c r="Z34" s="194">
        <f t="shared" si="5"/>
        <v>93</v>
      </c>
      <c r="AA34" s="194">
        <f t="shared" si="6"/>
        <v>93</v>
      </c>
      <c r="AB34" s="194">
        <f t="shared" si="7"/>
        <v>0</v>
      </c>
      <c r="AC34" s="194">
        <f>(U34*N34)*-1</f>
        <v>0</v>
      </c>
      <c r="AD34" s="192">
        <f t="shared" si="9"/>
        <v>0</v>
      </c>
      <c r="AE34" s="195">
        <f t="shared" si="10"/>
        <v>0</v>
      </c>
    </row>
    <row r="35" spans="2:31" ht="28.5" hidden="1" x14ac:dyDescent="0.25">
      <c r="B35" s="181" t="str">
        <f>C35&amp;"-"&amp;COUNTIF($C$7:C35,C35)</f>
        <v>Heating SystemCondominium-2</v>
      </c>
      <c r="C35" s="182" t="str">
        <f t="shared" si="0"/>
        <v>Heating SystemCondominium</v>
      </c>
      <c r="D35" s="183" t="str">
        <f t="shared" si="1"/>
        <v>Air Source Heat PumpsCondominium</v>
      </c>
      <c r="E35" s="150" t="s">
        <v>189</v>
      </c>
      <c r="F35" s="150" t="s">
        <v>89</v>
      </c>
      <c r="G35" s="150" t="s">
        <v>192</v>
      </c>
      <c r="H35" s="151" t="s">
        <v>54</v>
      </c>
      <c r="I35" s="189">
        <v>0.11</v>
      </c>
      <c r="J35" s="189">
        <v>0.2</v>
      </c>
      <c r="K35" s="189">
        <v>0.21</v>
      </c>
      <c r="L35" s="189">
        <v>0.3</v>
      </c>
      <c r="M35" s="189">
        <f t="shared" si="2"/>
        <v>0.255</v>
      </c>
      <c r="N35" s="190">
        <f>VLOOKUP(H35,'Existing Building EUI'!$B$7:$E$16,3,FALSE)</f>
        <v>215</v>
      </c>
      <c r="O35" s="190">
        <f>VLOOKUP(H35,'Existing Building EUI'!$B$7:$E$16,4,FALSE)</f>
        <v>93</v>
      </c>
      <c r="P35" s="191">
        <v>0</v>
      </c>
      <c r="Q35" s="189">
        <v>0</v>
      </c>
      <c r="R35" s="192">
        <v>0</v>
      </c>
      <c r="S35" s="192">
        <v>0</v>
      </c>
      <c r="T35" s="189">
        <v>0.5</v>
      </c>
      <c r="U35" s="189">
        <v>0.6</v>
      </c>
      <c r="V35" s="189">
        <f>T35/-2</f>
        <v>-0.25</v>
      </c>
      <c r="W35" s="189">
        <f>U35/-2</f>
        <v>-0.3</v>
      </c>
      <c r="X35" s="194">
        <f t="shared" si="3"/>
        <v>215</v>
      </c>
      <c r="Y35" s="194">
        <f t="shared" si="4"/>
        <v>215</v>
      </c>
      <c r="Z35" s="194">
        <f t="shared" si="5"/>
        <v>146.75</v>
      </c>
      <c r="AA35" s="194">
        <f t="shared" si="6"/>
        <v>157.5</v>
      </c>
      <c r="AB35" s="194">
        <f t="shared" si="7"/>
        <v>-107.5</v>
      </c>
      <c r="AC35" s="194">
        <f>U35*N35</f>
        <v>129</v>
      </c>
      <c r="AD35" s="192">
        <f t="shared" si="9"/>
        <v>0.17451298701298701</v>
      </c>
      <c r="AE35" s="195">
        <f t="shared" si="10"/>
        <v>-0.62824675324675328</v>
      </c>
    </row>
    <row r="36" spans="2:31" ht="28.5" hidden="1" x14ac:dyDescent="0.25">
      <c r="B36" s="181" t="str">
        <f>C36&amp;"-"&amp;COUNTIF($C$7:C36,C36)</f>
        <v>Heating SystemCondominium-3</v>
      </c>
      <c r="C36" s="182" t="str">
        <f t="shared" si="0"/>
        <v>Heating SystemCondominium</v>
      </c>
      <c r="D36" s="183" t="str">
        <f t="shared" si="1"/>
        <v>Ground Source Heat PumpsCondominium</v>
      </c>
      <c r="E36" s="150" t="s">
        <v>190</v>
      </c>
      <c r="F36" s="150" t="s">
        <v>89</v>
      </c>
      <c r="G36" s="150" t="s">
        <v>130</v>
      </c>
      <c r="H36" s="151" t="s">
        <v>54</v>
      </c>
      <c r="I36" s="189">
        <v>0.11</v>
      </c>
      <c r="J36" s="189">
        <v>0.2</v>
      </c>
      <c r="K36" s="189">
        <v>0.21</v>
      </c>
      <c r="L36" s="189">
        <v>0.3</v>
      </c>
      <c r="M36" s="189">
        <f t="shared" si="2"/>
        <v>0.255</v>
      </c>
      <c r="N36" s="190">
        <f>VLOOKUP(H36,'Existing Building EUI'!$B$7:$E$16,3,FALSE)</f>
        <v>215</v>
      </c>
      <c r="O36" s="190">
        <f>VLOOKUP(H36,'Existing Building EUI'!$B$7:$E$16,4,FALSE)</f>
        <v>93</v>
      </c>
      <c r="P36" s="191">
        <v>0</v>
      </c>
      <c r="Q36" s="189">
        <v>0</v>
      </c>
      <c r="R36" s="192">
        <v>0</v>
      </c>
      <c r="S36" s="192">
        <v>0</v>
      </c>
      <c r="T36" s="189">
        <v>0.5</v>
      </c>
      <c r="U36" s="189">
        <v>0.6</v>
      </c>
      <c r="V36" s="189">
        <f>T36/-3</f>
        <v>-0.16666666666666666</v>
      </c>
      <c r="W36" s="189">
        <f>U36/-3</f>
        <v>-0.19999999999999998</v>
      </c>
      <c r="X36" s="194">
        <f t="shared" si="3"/>
        <v>215</v>
      </c>
      <c r="Y36" s="194">
        <f t="shared" si="4"/>
        <v>215</v>
      </c>
      <c r="Z36" s="194">
        <f t="shared" si="5"/>
        <v>128.83333333333331</v>
      </c>
      <c r="AA36" s="194">
        <f t="shared" si="6"/>
        <v>136</v>
      </c>
      <c r="AB36" s="194">
        <f t="shared" si="7"/>
        <v>-107.5</v>
      </c>
      <c r="AC36" s="194">
        <f>U36*N36</f>
        <v>129</v>
      </c>
      <c r="AD36" s="192">
        <f t="shared" si="9"/>
        <v>0.23268398268398274</v>
      </c>
      <c r="AE36" s="195">
        <f t="shared" si="10"/>
        <v>-0.55844155844155841</v>
      </c>
    </row>
    <row r="37" spans="2:31" ht="57" x14ac:dyDescent="0.25">
      <c r="B37" s="181" t="str">
        <f>C37&amp;"-"&amp;COUNTIF($C$7:C37,C37)</f>
        <v>Heating SystemLow Rise Rental Apartment-1</v>
      </c>
      <c r="C37" s="182" t="str">
        <f t="shared" si="0"/>
        <v>Heating SystemLow Rise Rental Apartment</v>
      </c>
      <c r="D37" s="183" t="str">
        <f t="shared" si="1"/>
        <v>Low Carbon District Energy SystemLow Rise Rental Apartment</v>
      </c>
      <c r="E37" s="150" t="s">
        <v>178</v>
      </c>
      <c r="F37" s="150" t="s">
        <v>89</v>
      </c>
      <c r="G37" s="198" t="s">
        <v>300</v>
      </c>
      <c r="H37" s="151" t="s">
        <v>57</v>
      </c>
      <c r="I37" s="189">
        <v>0.21</v>
      </c>
      <c r="J37" s="189">
        <v>0.3</v>
      </c>
      <c r="K37" s="189">
        <v>0.31</v>
      </c>
      <c r="L37" s="189">
        <v>0.4</v>
      </c>
      <c r="M37" s="189">
        <f t="shared" si="2"/>
        <v>0.35499999999999998</v>
      </c>
      <c r="N37" s="190">
        <f>VLOOKUP(H37,'Existing Building EUI'!$B$7:$E$16,3,FALSE)</f>
        <v>234</v>
      </c>
      <c r="O37" s="190">
        <f>VLOOKUP(H37,'Existing Building EUI'!$B$7:$E$16,4,FALSE)</f>
        <v>107</v>
      </c>
      <c r="P37" s="191">
        <v>0</v>
      </c>
      <c r="Q37" s="189">
        <v>0</v>
      </c>
      <c r="R37" s="192">
        <v>0</v>
      </c>
      <c r="S37" s="192">
        <v>0</v>
      </c>
      <c r="T37" s="189">
        <v>0</v>
      </c>
      <c r="U37" s="189">
        <v>0</v>
      </c>
      <c r="V37" s="189">
        <v>0</v>
      </c>
      <c r="W37" s="189">
        <v>0</v>
      </c>
      <c r="X37" s="194">
        <f t="shared" si="3"/>
        <v>234</v>
      </c>
      <c r="Y37" s="194">
        <f t="shared" si="4"/>
        <v>234</v>
      </c>
      <c r="Z37" s="194">
        <f t="shared" si="5"/>
        <v>107</v>
      </c>
      <c r="AA37" s="194">
        <f t="shared" si="6"/>
        <v>107</v>
      </c>
      <c r="AB37" s="194">
        <f t="shared" si="7"/>
        <v>0</v>
      </c>
      <c r="AC37" s="194">
        <f>(U37*N37)*-1</f>
        <v>0</v>
      </c>
      <c r="AD37" s="192">
        <f t="shared" si="9"/>
        <v>0</v>
      </c>
      <c r="AE37" s="195">
        <f t="shared" si="10"/>
        <v>0</v>
      </c>
    </row>
    <row r="38" spans="2:31" ht="57" hidden="1" x14ac:dyDescent="0.25">
      <c r="B38" s="181" t="str">
        <f>C38&amp;"-"&amp;COUNTIF($C$7:C38,C38)</f>
        <v>Heating SystemLow Rise Rental Apartment-2</v>
      </c>
      <c r="C38" s="182" t="str">
        <f t="shared" si="0"/>
        <v>Heating SystemLow Rise Rental Apartment</v>
      </c>
      <c r="D38" s="183" t="str">
        <f t="shared" si="1"/>
        <v>Air Source Heat PumpsLow Rise Rental Apartment</v>
      </c>
      <c r="E38" s="150" t="s">
        <v>179</v>
      </c>
      <c r="F38" s="150" t="s">
        <v>89</v>
      </c>
      <c r="G38" s="150" t="s">
        <v>192</v>
      </c>
      <c r="H38" s="151" t="s">
        <v>57</v>
      </c>
      <c r="I38" s="189">
        <v>0.21</v>
      </c>
      <c r="J38" s="189">
        <v>0.3</v>
      </c>
      <c r="K38" s="189">
        <v>0.31</v>
      </c>
      <c r="L38" s="189">
        <v>0.4</v>
      </c>
      <c r="M38" s="189">
        <f t="shared" si="2"/>
        <v>0.35499999999999998</v>
      </c>
      <c r="N38" s="190">
        <f>VLOOKUP(H38,'Existing Building EUI'!$B$7:$E$16,3,FALSE)</f>
        <v>234</v>
      </c>
      <c r="O38" s="190">
        <f>VLOOKUP(H38,'Existing Building EUI'!$B$7:$E$16,4,FALSE)</f>
        <v>107</v>
      </c>
      <c r="P38" s="191">
        <v>0</v>
      </c>
      <c r="Q38" s="189">
        <v>0</v>
      </c>
      <c r="R38" s="192">
        <v>0</v>
      </c>
      <c r="S38" s="192">
        <v>0</v>
      </c>
      <c r="T38" s="189">
        <v>0.7</v>
      </c>
      <c r="U38" s="189">
        <v>0.8</v>
      </c>
      <c r="V38" s="189">
        <f>T38/-2</f>
        <v>-0.35</v>
      </c>
      <c r="W38" s="189">
        <f>U38/-2</f>
        <v>-0.4</v>
      </c>
      <c r="X38" s="194">
        <f t="shared" si="3"/>
        <v>234</v>
      </c>
      <c r="Y38" s="194">
        <f t="shared" si="4"/>
        <v>234</v>
      </c>
      <c r="Z38" s="194">
        <f t="shared" si="5"/>
        <v>188.89999999999998</v>
      </c>
      <c r="AA38" s="194">
        <f t="shared" si="6"/>
        <v>200.60000000000002</v>
      </c>
      <c r="AB38" s="194">
        <f t="shared" si="7"/>
        <v>-163.79999999999998</v>
      </c>
      <c r="AC38" s="194">
        <f t="shared" ref="AC38:AC43" si="19">U38*N38</f>
        <v>187.20000000000002</v>
      </c>
      <c r="AD38" s="192">
        <f t="shared" si="9"/>
        <v>0.24017595307917883</v>
      </c>
      <c r="AE38" s="195">
        <f t="shared" si="10"/>
        <v>-0.823460410557185</v>
      </c>
    </row>
    <row r="39" spans="2:31" ht="57" hidden="1" x14ac:dyDescent="0.25">
      <c r="B39" s="181" t="str">
        <f>C39&amp;"-"&amp;COUNTIF($C$7:C39,C39)</f>
        <v>Heating SystemLow Rise Rental Apartment-3</v>
      </c>
      <c r="C39" s="182" t="str">
        <f t="shared" si="0"/>
        <v>Heating SystemLow Rise Rental Apartment</v>
      </c>
      <c r="D39" s="183" t="str">
        <f t="shared" si="1"/>
        <v>Ground Source Heat PumpsLow Rise Rental Apartment</v>
      </c>
      <c r="E39" s="150" t="s">
        <v>180</v>
      </c>
      <c r="F39" s="150" t="s">
        <v>89</v>
      </c>
      <c r="G39" s="150" t="s">
        <v>130</v>
      </c>
      <c r="H39" s="151" t="s">
        <v>57</v>
      </c>
      <c r="I39" s="189">
        <v>0.21</v>
      </c>
      <c r="J39" s="189">
        <v>0.3</v>
      </c>
      <c r="K39" s="189">
        <v>0.31</v>
      </c>
      <c r="L39" s="189">
        <v>0.4</v>
      </c>
      <c r="M39" s="189">
        <f t="shared" si="2"/>
        <v>0.35499999999999998</v>
      </c>
      <c r="N39" s="190">
        <f>VLOOKUP(H39,'Existing Building EUI'!$B$7:$E$16,3,FALSE)</f>
        <v>234</v>
      </c>
      <c r="O39" s="190">
        <f>VLOOKUP(H39,'Existing Building EUI'!$B$7:$E$16,4,FALSE)</f>
        <v>107</v>
      </c>
      <c r="P39" s="191">
        <v>0</v>
      </c>
      <c r="Q39" s="189">
        <v>0</v>
      </c>
      <c r="R39" s="192">
        <v>0</v>
      </c>
      <c r="S39" s="192">
        <v>0</v>
      </c>
      <c r="T39" s="189">
        <v>0.7</v>
      </c>
      <c r="U39" s="189">
        <v>0.8</v>
      </c>
      <c r="V39" s="189">
        <f>T39/-3</f>
        <v>-0.23333333333333331</v>
      </c>
      <c r="W39" s="189">
        <f>U39/-3</f>
        <v>-0.26666666666666666</v>
      </c>
      <c r="X39" s="194">
        <f t="shared" si="3"/>
        <v>234</v>
      </c>
      <c r="Y39" s="194">
        <f t="shared" si="4"/>
        <v>234</v>
      </c>
      <c r="Z39" s="194">
        <f t="shared" si="5"/>
        <v>161.6</v>
      </c>
      <c r="AA39" s="194">
        <f t="shared" si="6"/>
        <v>169.4</v>
      </c>
      <c r="AB39" s="194">
        <f t="shared" si="7"/>
        <v>-163.79999999999998</v>
      </c>
      <c r="AC39" s="194">
        <f t="shared" si="19"/>
        <v>187.20000000000002</v>
      </c>
      <c r="AD39" s="192">
        <f t="shared" si="9"/>
        <v>0.32023460410557175</v>
      </c>
      <c r="AE39" s="195">
        <f t="shared" si="10"/>
        <v>-0.73196480938416431</v>
      </c>
    </row>
    <row r="40" spans="2:31" ht="28.5" hidden="1" x14ac:dyDescent="0.25">
      <c r="B40" s="181" t="str">
        <f>C40&amp;"-"&amp;COUNTIF($C$7:C40,C40)</f>
        <v>Heating SystemSingle Family Home Attached-1</v>
      </c>
      <c r="C40" s="182" t="str">
        <f t="shared" si="0"/>
        <v>Heating SystemSingle Family Home Attached</v>
      </c>
      <c r="D40" s="183" t="str">
        <f t="shared" si="1"/>
        <v>Air Source Heat PumpsSingle Family Home Attached</v>
      </c>
      <c r="E40" s="150" t="s">
        <v>189</v>
      </c>
      <c r="F40" s="150" t="s">
        <v>89</v>
      </c>
      <c r="G40" s="150" t="s">
        <v>192</v>
      </c>
      <c r="H40" s="151" t="s">
        <v>58</v>
      </c>
      <c r="I40" s="189">
        <v>0.01</v>
      </c>
      <c r="J40" s="189">
        <v>0.45</v>
      </c>
      <c r="K40" s="189">
        <v>0.01</v>
      </c>
      <c r="L40" s="189">
        <v>0.45</v>
      </c>
      <c r="M40" s="189">
        <f t="shared" si="2"/>
        <v>0.23</v>
      </c>
      <c r="N40" s="190">
        <f>VLOOKUP(H40,'Existing Building EUI'!$B$7:$E$16,3,FALSE)</f>
        <v>147</v>
      </c>
      <c r="O40" s="190">
        <f>VLOOKUP(H40,'Existing Building EUI'!$B$7:$E$16,4,FALSE)</f>
        <v>43</v>
      </c>
      <c r="P40" s="191">
        <v>0</v>
      </c>
      <c r="Q40" s="189">
        <v>0</v>
      </c>
      <c r="R40" s="192">
        <v>0</v>
      </c>
      <c r="S40" s="192">
        <v>0</v>
      </c>
      <c r="T40" s="189">
        <v>0.6</v>
      </c>
      <c r="U40" s="189">
        <v>0.8</v>
      </c>
      <c r="V40" s="189">
        <f>T40/-2</f>
        <v>-0.3</v>
      </c>
      <c r="W40" s="189">
        <f>U40/-2</f>
        <v>-0.4</v>
      </c>
      <c r="X40" s="194">
        <f t="shared" si="3"/>
        <v>147</v>
      </c>
      <c r="Y40" s="194">
        <f t="shared" si="4"/>
        <v>147</v>
      </c>
      <c r="Z40" s="194">
        <f t="shared" si="5"/>
        <v>87.1</v>
      </c>
      <c r="AA40" s="194">
        <f t="shared" si="6"/>
        <v>101.80000000000001</v>
      </c>
      <c r="AB40" s="194">
        <f t="shared" si="7"/>
        <v>-88.2</v>
      </c>
      <c r="AC40" s="194">
        <f t="shared" si="19"/>
        <v>117.60000000000001</v>
      </c>
      <c r="AD40" s="192">
        <f t="shared" si="9"/>
        <v>0.23210526315789487</v>
      </c>
      <c r="AE40" s="195">
        <f t="shared" si="10"/>
        <v>-0.92842105263157915</v>
      </c>
    </row>
    <row r="41" spans="2:31" ht="28.5" hidden="1" x14ac:dyDescent="0.25">
      <c r="B41" s="181" t="str">
        <f>C41&amp;"-"&amp;COUNTIF($C$7:C41,C41)</f>
        <v>Heating SystemSingle Family Home Attached-2</v>
      </c>
      <c r="C41" s="182" t="str">
        <f t="shared" si="0"/>
        <v>Heating SystemSingle Family Home Attached</v>
      </c>
      <c r="D41" s="183" t="str">
        <f t="shared" si="1"/>
        <v>Ground Source Heat PumpsSingle Family Home Attached</v>
      </c>
      <c r="E41" s="150" t="s">
        <v>190</v>
      </c>
      <c r="F41" s="150" t="s">
        <v>89</v>
      </c>
      <c r="G41" s="150" t="s">
        <v>130</v>
      </c>
      <c r="H41" s="151" t="s">
        <v>58</v>
      </c>
      <c r="I41" s="189">
        <v>0.01</v>
      </c>
      <c r="J41" s="189">
        <v>0.45</v>
      </c>
      <c r="K41" s="189">
        <v>0.01</v>
      </c>
      <c r="L41" s="189">
        <v>0.45</v>
      </c>
      <c r="M41" s="189">
        <f t="shared" si="2"/>
        <v>0.23</v>
      </c>
      <c r="N41" s="190">
        <f>VLOOKUP(H41,'Existing Building EUI'!$B$7:$E$16,3,FALSE)</f>
        <v>147</v>
      </c>
      <c r="O41" s="190">
        <f>VLOOKUP(H41,'Existing Building EUI'!$B$7:$E$16,4,FALSE)</f>
        <v>43</v>
      </c>
      <c r="P41" s="191">
        <v>0</v>
      </c>
      <c r="Q41" s="189">
        <v>0</v>
      </c>
      <c r="R41" s="192">
        <v>0</v>
      </c>
      <c r="S41" s="192">
        <v>0</v>
      </c>
      <c r="T41" s="189">
        <v>0.6</v>
      </c>
      <c r="U41" s="189">
        <v>0.8</v>
      </c>
      <c r="V41" s="189">
        <f>T41/-3</f>
        <v>-0.19999999999999998</v>
      </c>
      <c r="W41" s="189">
        <f>U41/-3</f>
        <v>-0.26666666666666666</v>
      </c>
      <c r="X41" s="194">
        <f t="shared" si="3"/>
        <v>147</v>
      </c>
      <c r="Y41" s="194">
        <f t="shared" si="4"/>
        <v>147</v>
      </c>
      <c r="Z41" s="194">
        <f t="shared" si="5"/>
        <v>72.400000000000006</v>
      </c>
      <c r="AA41" s="194">
        <f t="shared" si="6"/>
        <v>82.2</v>
      </c>
      <c r="AB41" s="194">
        <f t="shared" si="7"/>
        <v>-88.2</v>
      </c>
      <c r="AC41" s="194">
        <f t="shared" si="19"/>
        <v>117.60000000000001</v>
      </c>
      <c r="AD41" s="192">
        <f t="shared" si="9"/>
        <v>0.3094736842105264</v>
      </c>
      <c r="AE41" s="195">
        <f t="shared" si="10"/>
        <v>-0.82526315789473692</v>
      </c>
    </row>
    <row r="42" spans="2:31" ht="28.5" hidden="1" x14ac:dyDescent="0.25">
      <c r="B42" s="181" t="str">
        <f>C42&amp;"-"&amp;COUNTIF($C$7:C42,C42)</f>
        <v>Heating SystemSingle Family Home Detached-1</v>
      </c>
      <c r="C42" s="182" t="str">
        <f t="shared" si="0"/>
        <v>Heating SystemSingle Family Home Detached</v>
      </c>
      <c r="D42" s="183" t="str">
        <f t="shared" si="1"/>
        <v>Air Source Heat PumpsSingle Family Home Detached</v>
      </c>
      <c r="E42" s="150" t="s">
        <v>189</v>
      </c>
      <c r="F42" s="150" t="s">
        <v>89</v>
      </c>
      <c r="G42" s="150" t="s">
        <v>192</v>
      </c>
      <c r="H42" s="151" t="s">
        <v>60</v>
      </c>
      <c r="I42" s="189">
        <v>0.01</v>
      </c>
      <c r="J42" s="189">
        <v>0.55000000000000004</v>
      </c>
      <c r="K42" s="189">
        <v>0.01</v>
      </c>
      <c r="L42" s="189">
        <v>0.55000000000000004</v>
      </c>
      <c r="M42" s="189">
        <f t="shared" si="2"/>
        <v>0.28000000000000003</v>
      </c>
      <c r="N42" s="190">
        <f>VLOOKUP(H42,'Existing Building EUI'!$B$7:$E$16,3,FALSE)</f>
        <v>203</v>
      </c>
      <c r="O42" s="190">
        <f>VLOOKUP(H42,'Existing Building EUI'!$B$7:$E$16,4,FALSE)</f>
        <v>38</v>
      </c>
      <c r="P42" s="191">
        <v>0</v>
      </c>
      <c r="Q42" s="189">
        <v>0</v>
      </c>
      <c r="R42" s="192">
        <v>0</v>
      </c>
      <c r="S42" s="192">
        <v>0</v>
      </c>
      <c r="T42" s="189">
        <v>0.6</v>
      </c>
      <c r="U42" s="189">
        <v>0.8</v>
      </c>
      <c r="V42" s="189">
        <f>T42/-2</f>
        <v>-0.3</v>
      </c>
      <c r="W42" s="189">
        <f>U42/-2</f>
        <v>-0.4</v>
      </c>
      <c r="X42" s="194">
        <f t="shared" si="3"/>
        <v>203</v>
      </c>
      <c r="Y42" s="194">
        <f t="shared" si="4"/>
        <v>203</v>
      </c>
      <c r="Z42" s="194">
        <f t="shared" si="5"/>
        <v>98.9</v>
      </c>
      <c r="AA42" s="194">
        <f t="shared" si="6"/>
        <v>119.2</v>
      </c>
      <c r="AB42" s="194">
        <f t="shared" si="7"/>
        <v>-121.8</v>
      </c>
      <c r="AC42" s="194">
        <f t="shared" si="19"/>
        <v>162.4</v>
      </c>
      <c r="AD42" s="192">
        <f t="shared" si="9"/>
        <v>0.2526970954356848</v>
      </c>
      <c r="AE42" s="195">
        <f t="shared" si="10"/>
        <v>-1.0107883817427388</v>
      </c>
    </row>
    <row r="43" spans="2:31" ht="28.5" hidden="1" x14ac:dyDescent="0.25">
      <c r="B43" s="181" t="str">
        <f>C43&amp;"-"&amp;COUNTIF($C$7:C43,C43)</f>
        <v>Heating SystemSingle Family Home Detached-2</v>
      </c>
      <c r="C43" s="182" t="str">
        <f t="shared" si="0"/>
        <v>Heating SystemSingle Family Home Detached</v>
      </c>
      <c r="D43" s="183" t="str">
        <f t="shared" si="1"/>
        <v>Ground Source Heat PumpsSingle Family Home Detached</v>
      </c>
      <c r="E43" s="150" t="s">
        <v>190</v>
      </c>
      <c r="F43" s="150" t="s">
        <v>89</v>
      </c>
      <c r="G43" s="150" t="s">
        <v>130</v>
      </c>
      <c r="H43" s="151" t="s">
        <v>60</v>
      </c>
      <c r="I43" s="189">
        <v>0.01</v>
      </c>
      <c r="J43" s="189">
        <v>0.55000000000000004</v>
      </c>
      <c r="K43" s="189">
        <v>0.01</v>
      </c>
      <c r="L43" s="189">
        <v>0.55000000000000004</v>
      </c>
      <c r="M43" s="189">
        <f t="shared" si="2"/>
        <v>0.28000000000000003</v>
      </c>
      <c r="N43" s="190">
        <f>VLOOKUP(H43,'Existing Building EUI'!$B$7:$E$16,3,FALSE)</f>
        <v>203</v>
      </c>
      <c r="O43" s="190">
        <f>VLOOKUP(H43,'Existing Building EUI'!$B$7:$E$16,4,FALSE)</f>
        <v>38</v>
      </c>
      <c r="P43" s="191">
        <v>0</v>
      </c>
      <c r="Q43" s="189">
        <v>0</v>
      </c>
      <c r="R43" s="192">
        <v>0</v>
      </c>
      <c r="S43" s="192">
        <v>0</v>
      </c>
      <c r="T43" s="189">
        <v>0.6</v>
      </c>
      <c r="U43" s="189">
        <v>0.8</v>
      </c>
      <c r="V43" s="189">
        <f>T43/-3</f>
        <v>-0.19999999999999998</v>
      </c>
      <c r="W43" s="189">
        <f>U43/-3</f>
        <v>-0.26666666666666666</v>
      </c>
      <c r="X43" s="194">
        <f t="shared" si="3"/>
        <v>203</v>
      </c>
      <c r="Y43" s="194">
        <f t="shared" si="4"/>
        <v>203</v>
      </c>
      <c r="Z43" s="194">
        <f t="shared" si="5"/>
        <v>78.599999999999994</v>
      </c>
      <c r="AA43" s="194">
        <f t="shared" si="6"/>
        <v>92.133333333333326</v>
      </c>
      <c r="AB43" s="194">
        <f t="shared" si="7"/>
        <v>-121.8</v>
      </c>
      <c r="AC43" s="194">
        <f t="shared" si="19"/>
        <v>162.4</v>
      </c>
      <c r="AD43" s="192">
        <f t="shared" si="9"/>
        <v>0.33692946058091283</v>
      </c>
      <c r="AE43" s="195">
        <f t="shared" si="10"/>
        <v>-0.89847856154910088</v>
      </c>
    </row>
  </sheetData>
  <autoFilter ref="A5:AE43" xr:uid="{5E2E2931-1ECD-4DEF-8DD1-9B30080A0F77}">
    <filterColumn colId="4">
      <filters>
        <filter val="Heating &amp; Cooling Systems - District Energy System"/>
        <filter val="Heating, Cooling, Ventilation Systems - District Energy System + Energy Recovery Ventilators"/>
      </filters>
    </filterColumn>
    <sortState xmlns:xlrd2="http://schemas.microsoft.com/office/spreadsheetml/2017/richdata2" ref="A6:AE43">
      <sortCondition ref="F5:F43"/>
    </sortState>
  </autoFilter>
  <conditionalFormatting sqref="N22:AE43">
    <cfRule type="containsBlanks" dxfId="2" priority="1">
      <formula>LEN(TRIM(N22))=0</formula>
    </cfRule>
  </conditionalFormatting>
  <conditionalFormatting sqref="P16:AE21">
    <cfRule type="containsBlanks" dxfId="1" priority="7">
      <formula>LEN(TRIM(P16))=0</formula>
    </cfRule>
  </conditionalFormatting>
  <conditionalFormatting sqref="R7:U7 X7:AE7 I7:O20 R8:AE8 R9:U9 X9:AE9 R10:AE10 R11:U13 X11:AE13 R14:AE15 N21:O21 I21:M43">
    <cfRule type="containsBlanks" dxfId="0" priority="12">
      <formula>LEN(TRIM(I7))=0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46F0ABF3B47BF44AD9F499D24D101E0" ma:contentTypeVersion="11" ma:contentTypeDescription="Create a new document." ma:contentTypeScope="" ma:versionID="33eeb320dfd6f650d2ebf34a432598cb">
  <xsd:schema xmlns:xsd="http://www.w3.org/2001/XMLSchema" xmlns:xs="http://www.w3.org/2001/XMLSchema" xmlns:p="http://schemas.microsoft.com/office/2006/metadata/properties" xmlns:ns2="e5a56c6d-2097-42a9-9d37-cbdfd7c7092f" xmlns:ns3="4bc1de23-0261-4110-b9bd-b57ce927ae08" targetNamespace="http://schemas.microsoft.com/office/2006/metadata/properties" ma:root="true" ma:fieldsID="f4d3ab8b4781487f8847e4490751098b" ns2:_="" ns3:_="">
    <xsd:import namespace="e5a56c6d-2097-42a9-9d37-cbdfd7c7092f"/>
    <xsd:import namespace="4bc1de23-0261-4110-b9bd-b57ce927ae0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a56c6d-2097-42a9-9d37-cbdfd7c7092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5f907feb-2135-424b-9e5e-2a3ef7dbb3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c1de23-0261-4110-b9bd-b57ce927ae0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b559b83-6798-4037-86d5-a94592fef823}" ma:internalName="TaxCatchAll" ma:showField="CatchAllData" ma:web="4bc1de23-0261-4110-b9bd-b57ce927a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Q 6 m C W S j P Y h a k A A A A 9 Q A A A B I A H A B D b 2 5 m a W c v U G F j a 2 F n Z S 5 4 b W w g o h g A K K A U A A A A A A A A A A A A A A A A A A A A A A A A A A A A h Y 9 B D o I w F E S v Q r q n L R C j I Z 8 S w 1 Y S E x P j l p Q K j f A x t F j u 5 s I j e Q U x i r p z O W / e Y u Z + v U E 6 t o 1 3 U b 3 R H S Y k o J x 4 C m V X a q w S M t i j v y K p g G 0 h T 0 W l v E l G E 4 + m T E h t 7 T l m z D l H X U S 7 v m I h 5 w E 7 5 J u d r F V b k I + s / 8 u + R m M L l I o I 2 L / G i J A G U U Q X S 8 q B z Q x y j d 8 + n O Y + 2 x 8 I 2 d D Y o V d C o Z + t g c 0 R 2 P u C e A B Q S w M E F A A C A A g A Q 6 m C 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O p g l k o i k e 4 D g A A A B E A A A A T A B w A R m 9 y b X V s Y X M v U 2 V j d G l v b j E u b S C i G A A o o B Q A A A A A A A A A A A A A A A A A A A A A A A A A A A A r T k 0 u y c z P U w i G 0 I b W A F B L A Q I t A B Q A A g A I A E O p g l k o z 2 I W p A A A A P U A A A A S A A A A A A A A A A A A A A A A A A A A A A B D b 2 5 m a W c v U G F j a 2 F n Z S 5 4 b W x Q S w E C L Q A U A A I A C A B D q Y J Z D 8 r p q 6 Q A A A D p A A A A E w A A A A A A A A A A A A A A A A D w A A A A W 0 N v b n R l b n R f V H l w Z X N d L n h t b F B L A Q I t A B Q A A g A I A E O p g 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T i J o S J m g Q 4 J 9 g C / l 4 u R p A A A A A A I A A A A A A A N m A A D A A A A A E A A A A E S h + j 9 d g j 2 b F J v j x I I D q 4 8 A A A A A B I A A A K A A A A A Q A A A A j i 3 v D z X e l Y n s p p G 8 d 2 5 Z J F A A A A B F O K L v / 3 4 3 x m 2 2 e B V W Y T 2 k M g R Z I 9 U 4 y H L G 1 M 5 Y i T O k T x E / o c j 5 u M 6 H N 4 h L 7 U M C m 6 z 8 g u Z 6 B C Q + x Z c L b M v V p S f U a W W Q k / I Z 1 z k 6 + F t H t f + w E B Q A A A D 7 Q + S v j M j 3 r u a 3 w W t 5 w 0 d i V a d 0 W Q = = < / 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4bc1de23-0261-4110-b9bd-b57ce927ae08" xsi:nil="true"/>
    <lcf76f155ced4ddcb4097134ff3c332f xmlns="e5a56c6d-2097-42a9-9d37-cbdfd7c7092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2DCEE3E-BE21-44A7-9E50-62A815C30C6F}">
  <ds:schemaRefs>
    <ds:schemaRef ds:uri="http://schemas.microsoft.com/sharepoint/v3/contenttype/forms"/>
  </ds:schemaRefs>
</ds:datastoreItem>
</file>

<file path=customXml/itemProps2.xml><?xml version="1.0" encoding="utf-8"?>
<ds:datastoreItem xmlns:ds="http://schemas.openxmlformats.org/officeDocument/2006/customXml" ds:itemID="{BD673C31-CB98-43F5-9C94-23FD5B5BC0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a56c6d-2097-42a9-9d37-cbdfd7c7092f"/>
    <ds:schemaRef ds:uri="4bc1de23-0261-4110-b9bd-b57ce927a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7B410BF-8A8B-478F-9423-D5B137179020}">
  <ds:schemaRefs>
    <ds:schemaRef ds:uri="http://schemas.microsoft.com/DataMashup"/>
  </ds:schemaRefs>
</ds:datastoreItem>
</file>

<file path=customXml/itemProps4.xml><?xml version="1.0" encoding="utf-8"?>
<ds:datastoreItem xmlns:ds="http://schemas.openxmlformats.org/officeDocument/2006/customXml" ds:itemID="{08A912CE-0972-4754-AE06-A7B9B6DCB720}">
  <ds:schemaRefs>
    <ds:schemaRef ds:uri="http://schemas.microsoft.com/office/2006/metadata/properties"/>
    <ds:schemaRef ds:uri="http://schemas.microsoft.com/office/infopath/2007/PartnerControls"/>
    <ds:schemaRef ds:uri="4bc1de23-0261-4110-b9bd-b57ce927ae08"/>
    <ds:schemaRef ds:uri="e5a56c6d-2097-42a9-9d37-cbdfd7c7092f"/>
  </ds:schemaRefs>
</ds:datastoreItem>
</file>

<file path=docMetadata/LabelInfo.xml><?xml version="1.0" encoding="utf-8"?>
<clbl:labelList xmlns:clbl="http://schemas.microsoft.com/office/2020/mipLabelMetadata">
  <clbl:label id="{82fa3fd3-029b-403d-91b4-1dc930cb0e60}" enabled="1" method="Standard" siteId="{4ae48b41-0137-4599-8661-fc641fe77be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Cover</vt:lpstr>
      <vt:lpstr>Fuel Switching Options</vt:lpstr>
      <vt:lpstr>Backend &gt;</vt:lpstr>
      <vt:lpstr>Tool Calc Sheet</vt:lpstr>
      <vt:lpstr>Drop Down Database</vt:lpstr>
      <vt:lpstr>Heating System Database</vt:lpstr>
      <vt:lpstr>Existing Building EUI</vt:lpstr>
      <vt:lpstr>Retrofit Data</vt:lpstr>
      <vt:lpstr>Retrofit Data - DES</vt:lpstr>
      <vt:lpstr>Retrofit Saving Database</vt:lpstr>
      <vt:lpstr>References</vt:lpstr>
      <vt:lpstr>DHW_Electric_Large</vt:lpstr>
      <vt:lpstr>DHW_Electric_Small</vt:lpstr>
      <vt:lpstr>DHW_HeatPump_Large</vt:lpstr>
      <vt:lpstr>DHW_HeatPump_Small</vt:lpstr>
      <vt:lpstr>Empty</vt:lpstr>
      <vt:lpstr>Gas_Appliances_Large</vt:lpstr>
      <vt:lpstr>Gas_Appliances_Small</vt:lpstr>
      <vt:lpstr>Gas_Ranges_Large</vt:lpstr>
      <vt:lpstr>Gas_Ranges_Small</vt:lpstr>
      <vt:lpstr>Heating_ASHP_Large</vt:lpstr>
      <vt:lpstr>Heating_ASHP_Small</vt:lpstr>
      <vt:lpstr>Heating_District_Large</vt:lpstr>
      <vt:lpstr>Heating_District_Small</vt:lpstr>
      <vt:lpstr>Heating_GSHP_Large</vt:lpstr>
      <vt:lpstr>Heating_GSHP_Small</vt:lpstr>
      <vt:lpstr>'Fuel Switching Options'!Print_Area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Kasia Boyd</dc:creator>
  <cp:keywords/>
  <dc:description/>
  <cp:lastModifiedBy>Sacha Klein</cp:lastModifiedBy>
  <cp:revision/>
  <dcterms:created xsi:type="dcterms:W3CDTF">2015-06-05T18:17:20Z</dcterms:created>
  <dcterms:modified xsi:type="dcterms:W3CDTF">2025-04-14T13:58:42Z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_Number">
    <vt:lpwstr/>
  </property>
  <property fmtid="{D5CDD505-2E9C-101B-9397-08002B2CF9AE}" pid="3" name="Folder_Code">
    <vt:lpwstr/>
  </property>
  <property fmtid="{D5CDD505-2E9C-101B-9397-08002B2CF9AE}" pid="4" name="Folder_Name">
    <vt:lpwstr/>
  </property>
  <property fmtid="{D5CDD505-2E9C-101B-9397-08002B2CF9AE}" pid="5" name="Folder_Description">
    <vt:lpwstr/>
  </property>
  <property fmtid="{D5CDD505-2E9C-101B-9397-08002B2CF9AE}" pid="6" name="/Folder_Name/">
    <vt:lpwstr/>
  </property>
  <property fmtid="{D5CDD505-2E9C-101B-9397-08002B2CF9AE}" pid="7" name="/Folder_Description/">
    <vt:lpwstr/>
  </property>
  <property fmtid="{D5CDD505-2E9C-101B-9397-08002B2CF9AE}" pid="8" name="Folder_Version">
    <vt:lpwstr/>
  </property>
  <property fmtid="{D5CDD505-2E9C-101B-9397-08002B2CF9AE}" pid="9" name="Folder_VersionSeq">
    <vt:lpwstr/>
  </property>
  <property fmtid="{D5CDD505-2E9C-101B-9397-08002B2CF9AE}" pid="10" name="Folder_Manager">
    <vt:lpwstr/>
  </property>
  <property fmtid="{D5CDD505-2E9C-101B-9397-08002B2CF9AE}" pid="11" name="Folder_ManagerDesc">
    <vt:lpwstr/>
  </property>
  <property fmtid="{D5CDD505-2E9C-101B-9397-08002B2CF9AE}" pid="12" name="Folder_Storage">
    <vt:lpwstr/>
  </property>
  <property fmtid="{D5CDD505-2E9C-101B-9397-08002B2CF9AE}" pid="13" name="Folder_StorageDesc">
    <vt:lpwstr/>
  </property>
  <property fmtid="{D5CDD505-2E9C-101B-9397-08002B2CF9AE}" pid="14" name="Folder_Creator">
    <vt:lpwstr/>
  </property>
  <property fmtid="{D5CDD505-2E9C-101B-9397-08002B2CF9AE}" pid="15" name="Folder_CreatorDesc">
    <vt:lpwstr/>
  </property>
  <property fmtid="{D5CDD505-2E9C-101B-9397-08002B2CF9AE}" pid="16" name="Folder_CreateDate">
    <vt:lpwstr/>
  </property>
  <property fmtid="{D5CDD505-2E9C-101B-9397-08002B2CF9AE}" pid="17" name="Folder_Updater">
    <vt:lpwstr/>
  </property>
  <property fmtid="{D5CDD505-2E9C-101B-9397-08002B2CF9AE}" pid="18" name="Folder_UpdaterDesc">
    <vt:lpwstr/>
  </property>
  <property fmtid="{D5CDD505-2E9C-101B-9397-08002B2CF9AE}" pid="19" name="Folder_UpdateDate">
    <vt:lpwstr/>
  </property>
  <property fmtid="{D5CDD505-2E9C-101B-9397-08002B2CF9AE}" pid="20" name="Document_Number">
    <vt:lpwstr/>
  </property>
  <property fmtid="{D5CDD505-2E9C-101B-9397-08002B2CF9AE}" pid="21" name="Document_Name">
    <vt:lpwstr/>
  </property>
  <property fmtid="{D5CDD505-2E9C-101B-9397-08002B2CF9AE}" pid="22" name="Document_FileName">
    <vt:lpwstr/>
  </property>
  <property fmtid="{D5CDD505-2E9C-101B-9397-08002B2CF9AE}" pid="23" name="Document_Version">
    <vt:lpwstr/>
  </property>
  <property fmtid="{D5CDD505-2E9C-101B-9397-08002B2CF9AE}" pid="24" name="Document_VersionSeq">
    <vt:lpwstr/>
  </property>
  <property fmtid="{D5CDD505-2E9C-101B-9397-08002B2CF9AE}" pid="25" name="Document_Creator">
    <vt:lpwstr/>
  </property>
  <property fmtid="{D5CDD505-2E9C-101B-9397-08002B2CF9AE}" pid="26" name="Document_CreatorDesc">
    <vt:lpwstr/>
  </property>
  <property fmtid="{D5CDD505-2E9C-101B-9397-08002B2CF9AE}" pid="27" name="Document_CreateDate">
    <vt:lpwstr/>
  </property>
  <property fmtid="{D5CDD505-2E9C-101B-9397-08002B2CF9AE}" pid="28" name="Document_Updater">
    <vt:lpwstr/>
  </property>
  <property fmtid="{D5CDD505-2E9C-101B-9397-08002B2CF9AE}" pid="29" name="Document_UpdaterDesc">
    <vt:lpwstr/>
  </property>
  <property fmtid="{D5CDD505-2E9C-101B-9397-08002B2CF9AE}" pid="30" name="Document_UpdateDate">
    <vt:lpwstr/>
  </property>
  <property fmtid="{D5CDD505-2E9C-101B-9397-08002B2CF9AE}" pid="31" name="Document_Size">
    <vt:lpwstr/>
  </property>
  <property fmtid="{D5CDD505-2E9C-101B-9397-08002B2CF9AE}" pid="32" name="Document_Storage">
    <vt:lpwstr/>
  </property>
  <property fmtid="{D5CDD505-2E9C-101B-9397-08002B2CF9AE}" pid="33" name="Document_StorageDesc">
    <vt:lpwstr/>
  </property>
  <property fmtid="{D5CDD505-2E9C-101B-9397-08002B2CF9AE}" pid="34" name="Document_Department">
    <vt:lpwstr/>
  </property>
  <property fmtid="{D5CDD505-2E9C-101B-9397-08002B2CF9AE}" pid="35" name="Document_DepartmentDesc">
    <vt:lpwstr/>
  </property>
  <property fmtid="{D5CDD505-2E9C-101B-9397-08002B2CF9AE}" pid="36" name="ContentTypeId">
    <vt:lpwstr>0x010100546F0ABF3B47BF44AD9F499D24D101E0</vt:lpwstr>
  </property>
</Properties>
</file>